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270" yWindow="45" windowWidth="20085" windowHeight="7980" firstSheet="14" activeTab="21"/>
  </bookViews>
  <sheets>
    <sheet name=" KIOS TIDORE BULAN MARET" sheetId="5" r:id="rId1"/>
    <sheet name="KIOS APRIL" sheetId="17" r:id="rId2"/>
    <sheet name="KIOS MEI" sheetId="19" r:id="rId3"/>
    <sheet name="KIOS JUNI" sheetId="21" r:id="rId4"/>
    <sheet name="KIOS JULI" sheetId="23" r:id="rId5"/>
    <sheet name="KIOS AGUSTUS" sheetId="25" r:id="rId6"/>
    <sheet name="KIOS SEPTEMBER" sheetId="27" r:id="rId7"/>
    <sheet name="OKTOBER" sheetId="28" r:id="rId8"/>
    <sheet name="NOVEMBER" sheetId="29" r:id="rId9"/>
    <sheet name="DESEMBER" sheetId="30" r:id="rId10"/>
    <sheet name="JANUARI 21" sheetId="31" r:id="rId11"/>
    <sheet name="FEBRUARI" sheetId="32" r:id="rId12"/>
    <sheet name="MARET" sheetId="33" r:id="rId13"/>
    <sheet name="APRIL" sheetId="34" r:id="rId14"/>
    <sheet name="MEI" sheetId="35" r:id="rId15"/>
    <sheet name="FEBRUARI 2020" sheetId="36" r:id="rId16"/>
    <sheet name="JANUARI 2020" sheetId="37" r:id="rId17"/>
    <sheet name="JUNI 2021" sheetId="39" r:id="rId18"/>
    <sheet name="JULI 2021" sheetId="40" r:id="rId19"/>
    <sheet name="AGUSTUS" sheetId="41" r:id="rId20"/>
    <sheet name="SEPTEMBER 2021" sheetId="42" r:id="rId21"/>
    <sheet name="OKTOBER 2021" sheetId="43" r:id="rId22"/>
    <sheet name=" NOVEMBER 2021" sheetId="44" r:id="rId23"/>
    <sheet name="Sheet1" sheetId="45" r:id="rId24"/>
  </sheets>
  <definedNames>
    <definedName name="_xlnm.Print_Area" localSheetId="22">' NOVEMBER 2021'!$A$1:$N$106</definedName>
    <definedName name="_xlnm.Print_Area" localSheetId="13">APRIL!$A$1:$N$140</definedName>
    <definedName name="_xlnm.Print_Area" localSheetId="16">'JANUARI 2020'!$A$74:$D$91</definedName>
    <definedName name="_xlnm.Print_Area" localSheetId="10">'JANUARI 21'!$A$1:$N$116</definedName>
    <definedName name="_xlnm.Print_Area" localSheetId="5">'KIOS AGUSTUS'!$A$1:$N$96</definedName>
    <definedName name="_xlnm.Print_Area" localSheetId="6">'KIOS SEPTEMBER'!$A$1:$N$117</definedName>
    <definedName name="_xlnm.Print_Area" localSheetId="12">MARET!$A$1:$N$117</definedName>
    <definedName name="_xlnm.Print_Area" localSheetId="8">NOVEMBER!$A$1:$N$124</definedName>
    <definedName name="_xlnm.Print_Area" localSheetId="7">OKTOBER!$A$1:$N$116</definedName>
  </definedNames>
  <calcPr calcId="144525"/>
</workbook>
</file>

<file path=xl/calcChain.xml><?xml version="1.0" encoding="utf-8"?>
<calcChain xmlns="http://schemas.openxmlformats.org/spreadsheetml/2006/main">
  <c r="D153" i="44" l="1"/>
  <c r="D145" i="44"/>
  <c r="J96" i="44"/>
  <c r="I96" i="44"/>
  <c r="H96" i="44"/>
  <c r="K96" i="44" s="1"/>
  <c r="J95" i="44"/>
  <c r="I95" i="44"/>
  <c r="H95" i="44"/>
  <c r="K95" i="44" s="1"/>
  <c r="J94" i="44"/>
  <c r="I94" i="44"/>
  <c r="H94" i="44"/>
  <c r="K94" i="44" s="1"/>
  <c r="J93" i="44"/>
  <c r="I93" i="44"/>
  <c r="H93" i="44"/>
  <c r="K93" i="44" s="1"/>
  <c r="J92" i="44"/>
  <c r="I92" i="44"/>
  <c r="H92" i="44"/>
  <c r="K92" i="44" s="1"/>
  <c r="J91" i="44"/>
  <c r="I91" i="44"/>
  <c r="H91" i="44"/>
  <c r="K91" i="44" s="1"/>
  <c r="J90" i="44"/>
  <c r="I90" i="44"/>
  <c r="H90" i="44"/>
  <c r="J89" i="44"/>
  <c r="I89" i="44"/>
  <c r="H89" i="44"/>
  <c r="J88" i="44"/>
  <c r="I88" i="44"/>
  <c r="H88" i="44"/>
  <c r="J87" i="44"/>
  <c r="I87" i="44"/>
  <c r="H87" i="44"/>
  <c r="J86" i="44"/>
  <c r="I86" i="44"/>
  <c r="H86" i="44"/>
  <c r="J85" i="44"/>
  <c r="I85" i="44"/>
  <c r="H85" i="44"/>
  <c r="J84" i="44"/>
  <c r="I84" i="44"/>
  <c r="H84" i="44"/>
  <c r="M83" i="44"/>
  <c r="L83" i="44"/>
  <c r="J83" i="44"/>
  <c r="I83" i="44"/>
  <c r="H83" i="44"/>
  <c r="K83" i="44" s="1"/>
  <c r="M82" i="44"/>
  <c r="L82" i="44"/>
  <c r="J82" i="44"/>
  <c r="I82" i="44"/>
  <c r="H82" i="44"/>
  <c r="K82" i="44" s="1"/>
  <c r="J81" i="44"/>
  <c r="I81" i="44"/>
  <c r="H81" i="44"/>
  <c r="M80" i="44"/>
  <c r="L80" i="44"/>
  <c r="J80" i="44"/>
  <c r="I80" i="44"/>
  <c r="H80" i="44"/>
  <c r="K80" i="44" s="1"/>
  <c r="M79" i="44"/>
  <c r="L79" i="44"/>
  <c r="J79" i="44"/>
  <c r="I79" i="44"/>
  <c r="H79" i="44"/>
  <c r="K79" i="44" s="1"/>
  <c r="M78" i="44"/>
  <c r="L78" i="44"/>
  <c r="J78" i="44"/>
  <c r="I78" i="44"/>
  <c r="H78" i="44"/>
  <c r="K78" i="44" s="1"/>
  <c r="M77" i="44"/>
  <c r="L77" i="44"/>
  <c r="J77" i="44"/>
  <c r="I77" i="44"/>
  <c r="H77" i="44"/>
  <c r="K77" i="44" s="1"/>
  <c r="M76" i="44"/>
  <c r="L76" i="44"/>
  <c r="J76" i="44"/>
  <c r="I76" i="44"/>
  <c r="H76" i="44"/>
  <c r="K76" i="44" s="1"/>
  <c r="M75" i="44"/>
  <c r="L75" i="44"/>
  <c r="J75" i="44"/>
  <c r="I75" i="44"/>
  <c r="H75" i="44"/>
  <c r="K75" i="44" s="1"/>
  <c r="M74" i="44"/>
  <c r="L74" i="44"/>
  <c r="J74" i="44"/>
  <c r="I74" i="44"/>
  <c r="H74" i="44"/>
  <c r="K74" i="44" s="1"/>
  <c r="M73" i="44"/>
  <c r="L73" i="44"/>
  <c r="J73" i="44"/>
  <c r="I73" i="44"/>
  <c r="H73" i="44"/>
  <c r="K73" i="44" s="1"/>
  <c r="M72" i="44"/>
  <c r="L72" i="44"/>
  <c r="J72" i="44"/>
  <c r="I72" i="44"/>
  <c r="H72" i="44"/>
  <c r="K72" i="44" s="1"/>
  <c r="M71" i="44"/>
  <c r="L71" i="44"/>
  <c r="J71" i="44"/>
  <c r="I71" i="44"/>
  <c r="H71" i="44"/>
  <c r="K71" i="44" s="1"/>
  <c r="M70" i="44"/>
  <c r="L70" i="44"/>
  <c r="J70" i="44"/>
  <c r="I70" i="44"/>
  <c r="H70" i="44"/>
  <c r="K70" i="44" s="1"/>
  <c r="M69" i="44"/>
  <c r="L69" i="44"/>
  <c r="J69" i="44"/>
  <c r="I69" i="44"/>
  <c r="H69" i="44"/>
  <c r="K69" i="44" s="1"/>
  <c r="M68" i="44"/>
  <c r="L68" i="44"/>
  <c r="J68" i="44"/>
  <c r="I68" i="44"/>
  <c r="H68" i="44"/>
  <c r="K68" i="44" s="1"/>
  <c r="M67" i="44"/>
  <c r="L67" i="44"/>
  <c r="J67" i="44"/>
  <c r="I67" i="44"/>
  <c r="H67" i="44"/>
  <c r="K67" i="44" s="1"/>
  <c r="M66" i="44"/>
  <c r="L66" i="44"/>
  <c r="J66" i="44"/>
  <c r="I66" i="44"/>
  <c r="H66" i="44"/>
  <c r="K66" i="44" s="1"/>
  <c r="M65" i="44"/>
  <c r="L65" i="44"/>
  <c r="J65" i="44"/>
  <c r="I65" i="44"/>
  <c r="H65" i="44"/>
  <c r="K65" i="44" s="1"/>
  <c r="M64" i="44"/>
  <c r="L64" i="44"/>
  <c r="J64" i="44"/>
  <c r="I64" i="44"/>
  <c r="H64" i="44"/>
  <c r="K64" i="44" s="1"/>
  <c r="M63" i="44"/>
  <c r="L63" i="44"/>
  <c r="J63" i="44"/>
  <c r="I63" i="44"/>
  <c r="H63" i="44"/>
  <c r="K63" i="44" s="1"/>
  <c r="M62" i="44"/>
  <c r="L62" i="44"/>
  <c r="J62" i="44"/>
  <c r="I62" i="44"/>
  <c r="H62" i="44"/>
  <c r="K62" i="44" s="1"/>
  <c r="M61" i="44"/>
  <c r="L61" i="44"/>
  <c r="J61" i="44"/>
  <c r="I61" i="44"/>
  <c r="H61" i="44"/>
  <c r="K61" i="44" s="1"/>
  <c r="M60" i="44"/>
  <c r="L60" i="44"/>
  <c r="J60" i="44"/>
  <c r="I60" i="44"/>
  <c r="H60" i="44"/>
  <c r="K60" i="44" s="1"/>
  <c r="M59" i="44"/>
  <c r="L59" i="44"/>
  <c r="J59" i="44"/>
  <c r="I59" i="44"/>
  <c r="H59" i="44"/>
  <c r="K59" i="44" s="1"/>
  <c r="M58" i="44"/>
  <c r="L58" i="44"/>
  <c r="J58" i="44"/>
  <c r="I58" i="44"/>
  <c r="H58" i="44"/>
  <c r="K58" i="44" s="1"/>
  <c r="M57" i="44"/>
  <c r="L57" i="44"/>
  <c r="J57" i="44"/>
  <c r="I57" i="44"/>
  <c r="H57" i="44"/>
  <c r="K57" i="44" s="1"/>
  <c r="M56" i="44"/>
  <c r="L56" i="44"/>
  <c r="J56" i="44"/>
  <c r="I56" i="44"/>
  <c r="H56" i="44"/>
  <c r="K56" i="44" s="1"/>
  <c r="M55" i="44"/>
  <c r="L55" i="44"/>
  <c r="J55" i="44"/>
  <c r="I55" i="44"/>
  <c r="H55" i="44"/>
  <c r="K55" i="44" s="1"/>
  <c r="M54" i="44"/>
  <c r="L54" i="44"/>
  <c r="J54" i="44"/>
  <c r="I54" i="44"/>
  <c r="H54" i="44"/>
  <c r="K54" i="44" s="1"/>
  <c r="M53" i="44"/>
  <c r="L53" i="44"/>
  <c r="J53" i="44"/>
  <c r="I53" i="44"/>
  <c r="H53" i="44"/>
  <c r="K53" i="44" s="1"/>
  <c r="M52" i="44"/>
  <c r="L52" i="44"/>
  <c r="J52" i="44"/>
  <c r="I52" i="44"/>
  <c r="H52" i="44"/>
  <c r="K52" i="44" s="1"/>
  <c r="M51" i="44"/>
  <c r="L51" i="44"/>
  <c r="J51" i="44"/>
  <c r="I51" i="44"/>
  <c r="H51" i="44"/>
  <c r="K51" i="44" s="1"/>
  <c r="M50" i="44"/>
  <c r="L50" i="44"/>
  <c r="J50" i="44"/>
  <c r="I50" i="44"/>
  <c r="H50" i="44"/>
  <c r="K50" i="44" s="1"/>
  <c r="M49" i="44"/>
  <c r="L49" i="44"/>
  <c r="J49" i="44"/>
  <c r="I49" i="44"/>
  <c r="H49" i="44"/>
  <c r="K49" i="44" s="1"/>
  <c r="M48" i="44"/>
  <c r="L48" i="44"/>
  <c r="J48" i="44"/>
  <c r="I48" i="44"/>
  <c r="H48" i="44"/>
  <c r="K48" i="44" s="1"/>
  <c r="M47" i="44"/>
  <c r="L47" i="44"/>
  <c r="J47" i="44"/>
  <c r="I47" i="44"/>
  <c r="H47" i="44"/>
  <c r="K47" i="44" s="1"/>
  <c r="M46" i="44"/>
  <c r="L46" i="44"/>
  <c r="J46" i="44"/>
  <c r="I46" i="44"/>
  <c r="H46" i="44"/>
  <c r="K46" i="44" s="1"/>
  <c r="M45" i="44"/>
  <c r="L45" i="44"/>
  <c r="J45" i="44"/>
  <c r="I45" i="44"/>
  <c r="H45" i="44"/>
  <c r="K45" i="44" s="1"/>
  <c r="M44" i="44"/>
  <c r="L44" i="44"/>
  <c r="J44" i="44"/>
  <c r="I44" i="44"/>
  <c r="H44" i="44"/>
  <c r="K44" i="44" s="1"/>
  <c r="M43" i="44"/>
  <c r="L43" i="44"/>
  <c r="J43" i="44"/>
  <c r="I43" i="44"/>
  <c r="H43" i="44"/>
  <c r="K43" i="44" s="1"/>
  <c r="M42" i="44"/>
  <c r="L42" i="44"/>
  <c r="J42" i="44"/>
  <c r="I42" i="44"/>
  <c r="H42" i="44"/>
  <c r="K42" i="44" s="1"/>
  <c r="M41" i="44"/>
  <c r="L41" i="44"/>
  <c r="J41" i="44"/>
  <c r="I41" i="44"/>
  <c r="H41" i="44"/>
  <c r="K41" i="44" s="1"/>
  <c r="M40" i="44"/>
  <c r="L40" i="44"/>
  <c r="J40" i="44"/>
  <c r="I40" i="44"/>
  <c r="H40" i="44"/>
  <c r="K40" i="44" s="1"/>
  <c r="M39" i="44"/>
  <c r="L39" i="44"/>
  <c r="J39" i="44"/>
  <c r="I39" i="44"/>
  <c r="H39" i="44"/>
  <c r="K39" i="44" s="1"/>
  <c r="M38" i="44"/>
  <c r="L38" i="44"/>
  <c r="J38" i="44"/>
  <c r="I38" i="44"/>
  <c r="H38" i="44"/>
  <c r="K38" i="44" s="1"/>
  <c r="M37" i="44"/>
  <c r="L37" i="44"/>
  <c r="J37" i="44"/>
  <c r="I37" i="44"/>
  <c r="H37" i="44"/>
  <c r="K37" i="44" s="1"/>
  <c r="M36" i="44"/>
  <c r="L36" i="44"/>
  <c r="J36" i="44"/>
  <c r="I36" i="44"/>
  <c r="H36" i="44"/>
  <c r="K36" i="44" s="1"/>
  <c r="M35" i="44"/>
  <c r="L35" i="44"/>
  <c r="J35" i="44"/>
  <c r="I35" i="44"/>
  <c r="H35" i="44"/>
  <c r="K35" i="44" s="1"/>
  <c r="M34" i="44"/>
  <c r="L34" i="44"/>
  <c r="J34" i="44"/>
  <c r="I34" i="44"/>
  <c r="H34" i="44"/>
  <c r="K34" i="44" s="1"/>
  <c r="M33" i="44"/>
  <c r="L33" i="44"/>
  <c r="J33" i="44"/>
  <c r="I33" i="44"/>
  <c r="H33" i="44"/>
  <c r="K33" i="44" s="1"/>
  <c r="M32" i="44"/>
  <c r="L32" i="44"/>
  <c r="J32" i="44"/>
  <c r="I32" i="44"/>
  <c r="H32" i="44"/>
  <c r="K32" i="44" s="1"/>
  <c r="M31" i="44"/>
  <c r="L31" i="44"/>
  <c r="J31" i="44"/>
  <c r="I31" i="44"/>
  <c r="H31" i="44"/>
  <c r="K31" i="44" s="1"/>
  <c r="M30" i="44"/>
  <c r="L30" i="44"/>
  <c r="J30" i="44"/>
  <c r="I30" i="44"/>
  <c r="H30" i="44"/>
  <c r="K30" i="44" s="1"/>
  <c r="M29" i="44"/>
  <c r="L29" i="44"/>
  <c r="J29" i="44"/>
  <c r="I29" i="44"/>
  <c r="H29" i="44"/>
  <c r="K29" i="44" s="1"/>
  <c r="M28" i="44"/>
  <c r="L28" i="44"/>
  <c r="J28" i="44"/>
  <c r="I28" i="44"/>
  <c r="H28" i="44"/>
  <c r="K28" i="44" s="1"/>
  <c r="M27" i="44"/>
  <c r="L27" i="44"/>
  <c r="J27" i="44"/>
  <c r="I27" i="44"/>
  <c r="H27" i="44"/>
  <c r="K27" i="44" s="1"/>
  <c r="M26" i="44"/>
  <c r="L26" i="44"/>
  <c r="J26" i="44"/>
  <c r="I26" i="44"/>
  <c r="H26" i="44"/>
  <c r="K26" i="44" s="1"/>
  <c r="M25" i="44"/>
  <c r="L25" i="44"/>
  <c r="J25" i="44"/>
  <c r="I25" i="44"/>
  <c r="H25" i="44"/>
  <c r="K25" i="44" s="1"/>
  <c r="M24" i="44"/>
  <c r="L24" i="44"/>
  <c r="J24" i="44"/>
  <c r="I24" i="44"/>
  <c r="H24" i="44"/>
  <c r="K24" i="44" s="1"/>
  <c r="M23" i="44"/>
  <c r="L23" i="44"/>
  <c r="J23" i="44"/>
  <c r="I23" i="44"/>
  <c r="H23" i="44"/>
  <c r="K23" i="44" s="1"/>
  <c r="M22" i="44"/>
  <c r="L22" i="44"/>
  <c r="J22" i="44"/>
  <c r="I22" i="44"/>
  <c r="H22" i="44"/>
  <c r="K22" i="44" s="1"/>
  <c r="M21" i="44"/>
  <c r="L21" i="44"/>
  <c r="J21" i="44"/>
  <c r="I21" i="44"/>
  <c r="H21" i="44"/>
  <c r="K21" i="44" s="1"/>
  <c r="M20" i="44"/>
  <c r="L20" i="44"/>
  <c r="J20" i="44"/>
  <c r="I20" i="44"/>
  <c r="H20" i="44"/>
  <c r="K20" i="44" s="1"/>
  <c r="M19" i="44"/>
  <c r="L19" i="44"/>
  <c r="J19" i="44"/>
  <c r="I19" i="44"/>
  <c r="H19" i="44"/>
  <c r="K19" i="44" s="1"/>
  <c r="M18" i="44"/>
  <c r="L18" i="44"/>
  <c r="J18" i="44"/>
  <c r="I18" i="44"/>
  <c r="H18" i="44"/>
  <c r="K18" i="44" s="1"/>
  <c r="M17" i="44"/>
  <c r="L17" i="44"/>
  <c r="J17" i="44"/>
  <c r="I17" i="44"/>
  <c r="H17" i="44"/>
  <c r="K17" i="44" s="1"/>
  <c r="M16" i="44"/>
  <c r="L16" i="44"/>
  <c r="J16" i="44"/>
  <c r="I16" i="44"/>
  <c r="H16" i="44"/>
  <c r="K16" i="44" s="1"/>
  <c r="M15" i="44"/>
  <c r="L15" i="44"/>
  <c r="J15" i="44"/>
  <c r="I15" i="44"/>
  <c r="H15" i="44"/>
  <c r="K15" i="44" s="1"/>
  <c r="M14" i="44"/>
  <c r="L14" i="44"/>
  <c r="J14" i="44"/>
  <c r="I14" i="44"/>
  <c r="H14" i="44"/>
  <c r="K14" i="44" s="1"/>
  <c r="M13" i="44"/>
  <c r="L13" i="44"/>
  <c r="J13" i="44"/>
  <c r="I13" i="44"/>
  <c r="H13" i="44"/>
  <c r="K13" i="44" s="1"/>
  <c r="M12" i="44"/>
  <c r="L12" i="44"/>
  <c r="J12" i="44"/>
  <c r="I12" i="44"/>
  <c r="H12" i="44"/>
  <c r="K12" i="44" s="1"/>
  <c r="M11" i="44"/>
  <c r="L11" i="44"/>
  <c r="J11" i="44"/>
  <c r="I11" i="44"/>
  <c r="H11" i="44"/>
  <c r="K11" i="44" s="1"/>
  <c r="M10" i="44"/>
  <c r="L10" i="44"/>
  <c r="J10" i="44"/>
  <c r="I10" i="44"/>
  <c r="H10" i="44"/>
  <c r="K10" i="44" s="1"/>
  <c r="M9" i="44"/>
  <c r="L9" i="44"/>
  <c r="J9" i="44"/>
  <c r="I9" i="44"/>
  <c r="H9" i="44"/>
  <c r="K9" i="44" s="1"/>
  <c r="M8" i="44"/>
  <c r="L8" i="44"/>
  <c r="J8" i="44"/>
  <c r="I8" i="44"/>
  <c r="H8" i="44"/>
  <c r="K8" i="44" s="1"/>
  <c r="M7" i="44"/>
  <c r="L7" i="44"/>
  <c r="J7" i="44"/>
  <c r="I7" i="44"/>
  <c r="H7" i="44"/>
  <c r="K7" i="44" s="1"/>
  <c r="M6" i="44"/>
  <c r="L6" i="44"/>
  <c r="J6" i="44"/>
  <c r="I6" i="44"/>
  <c r="H6" i="44"/>
  <c r="K6" i="44" s="1"/>
  <c r="M5" i="44"/>
  <c r="L5" i="44"/>
  <c r="J5" i="44"/>
  <c r="I5" i="44"/>
  <c r="H5" i="44"/>
  <c r="K5" i="44" s="1"/>
  <c r="D155" i="44" l="1"/>
  <c r="G102" i="44"/>
  <c r="I97" i="44"/>
  <c r="L97" i="44"/>
  <c r="M97" i="44"/>
  <c r="K97" i="44"/>
  <c r="J97" i="44"/>
  <c r="H42" i="43"/>
  <c r="K42" i="43" s="1"/>
  <c r="I42" i="43"/>
  <c r="J42" i="43"/>
  <c r="M42" i="43"/>
  <c r="H28" i="43"/>
  <c r="K28" i="43" s="1"/>
  <c r="I28" i="43"/>
  <c r="J28" i="43"/>
  <c r="M28" i="43"/>
  <c r="H77" i="43"/>
  <c r="K77" i="43" s="1"/>
  <c r="I77" i="43"/>
  <c r="J77" i="43"/>
  <c r="L42" i="43" l="1"/>
  <c r="L28" i="43"/>
  <c r="M77" i="43"/>
  <c r="L77" i="43"/>
  <c r="D151" i="43"/>
  <c r="D144" i="43"/>
  <c r="J96" i="43"/>
  <c r="I96" i="43"/>
  <c r="H96" i="43"/>
  <c r="K96" i="43" s="1"/>
  <c r="J95" i="43"/>
  <c r="I95" i="43"/>
  <c r="H95" i="43"/>
  <c r="K95" i="43" s="1"/>
  <c r="J94" i="43"/>
  <c r="I94" i="43"/>
  <c r="H94" i="43"/>
  <c r="K94" i="43" s="1"/>
  <c r="J93" i="43"/>
  <c r="I93" i="43"/>
  <c r="H93" i="43"/>
  <c r="K93" i="43" s="1"/>
  <c r="J92" i="43"/>
  <c r="I92" i="43"/>
  <c r="H92" i="43"/>
  <c r="K92" i="43" s="1"/>
  <c r="J91" i="43"/>
  <c r="I91" i="43"/>
  <c r="H91" i="43"/>
  <c r="K91" i="43" s="1"/>
  <c r="J90" i="43"/>
  <c r="I90" i="43"/>
  <c r="H90" i="43"/>
  <c r="J89" i="43"/>
  <c r="I89" i="43"/>
  <c r="H89" i="43"/>
  <c r="J88" i="43"/>
  <c r="I88" i="43"/>
  <c r="H88" i="43"/>
  <c r="J87" i="43"/>
  <c r="I87" i="43"/>
  <c r="H87" i="43"/>
  <c r="J86" i="43"/>
  <c r="I86" i="43"/>
  <c r="H86" i="43"/>
  <c r="J85" i="43"/>
  <c r="I85" i="43"/>
  <c r="H85" i="43"/>
  <c r="J84" i="43"/>
  <c r="I84" i="43"/>
  <c r="H84" i="43"/>
  <c r="M83" i="43"/>
  <c r="L83" i="43"/>
  <c r="J83" i="43"/>
  <c r="I83" i="43"/>
  <c r="H83" i="43"/>
  <c r="K83" i="43" s="1"/>
  <c r="M82" i="43"/>
  <c r="L82" i="43"/>
  <c r="J82" i="43"/>
  <c r="I82" i="43"/>
  <c r="H82" i="43"/>
  <c r="K82" i="43" s="1"/>
  <c r="J81" i="43"/>
  <c r="I81" i="43"/>
  <c r="H81" i="43"/>
  <c r="M80" i="43"/>
  <c r="L80" i="43"/>
  <c r="J80" i="43"/>
  <c r="I80" i="43"/>
  <c r="H80" i="43"/>
  <c r="K80" i="43" s="1"/>
  <c r="M79" i="43"/>
  <c r="L79" i="43"/>
  <c r="J79" i="43"/>
  <c r="I79" i="43"/>
  <c r="H79" i="43"/>
  <c r="K79" i="43" s="1"/>
  <c r="M78" i="43"/>
  <c r="L78" i="43"/>
  <c r="J78" i="43"/>
  <c r="I78" i="43"/>
  <c r="H78" i="43"/>
  <c r="K78" i="43" s="1"/>
  <c r="M76" i="43"/>
  <c r="L76" i="43"/>
  <c r="J76" i="43"/>
  <c r="I76" i="43"/>
  <c r="H76" i="43"/>
  <c r="K76" i="43" s="1"/>
  <c r="M75" i="43"/>
  <c r="L75" i="43"/>
  <c r="J75" i="43"/>
  <c r="I75" i="43"/>
  <c r="H75" i="43"/>
  <c r="K75" i="43" s="1"/>
  <c r="M74" i="43"/>
  <c r="L74" i="43"/>
  <c r="J74" i="43"/>
  <c r="I74" i="43"/>
  <c r="H74" i="43"/>
  <c r="K74" i="43" s="1"/>
  <c r="M73" i="43"/>
  <c r="L73" i="43"/>
  <c r="J73" i="43"/>
  <c r="I73" i="43"/>
  <c r="H73" i="43"/>
  <c r="K73" i="43" s="1"/>
  <c r="M72" i="43"/>
  <c r="L72" i="43"/>
  <c r="J72" i="43"/>
  <c r="I72" i="43"/>
  <c r="H72" i="43"/>
  <c r="K72" i="43" s="1"/>
  <c r="M71" i="43"/>
  <c r="L71" i="43"/>
  <c r="J71" i="43"/>
  <c r="I71" i="43"/>
  <c r="H71" i="43"/>
  <c r="K71" i="43" s="1"/>
  <c r="M70" i="43"/>
  <c r="L70" i="43"/>
  <c r="J70" i="43"/>
  <c r="I70" i="43"/>
  <c r="H70" i="43"/>
  <c r="K70" i="43" s="1"/>
  <c r="M69" i="43"/>
  <c r="L69" i="43"/>
  <c r="J69" i="43"/>
  <c r="I69" i="43"/>
  <c r="H69" i="43"/>
  <c r="K69" i="43" s="1"/>
  <c r="M68" i="43"/>
  <c r="L68" i="43"/>
  <c r="J68" i="43"/>
  <c r="I68" i="43"/>
  <c r="H68" i="43"/>
  <c r="K68" i="43" s="1"/>
  <c r="M67" i="43"/>
  <c r="L67" i="43"/>
  <c r="J67" i="43"/>
  <c r="I67" i="43"/>
  <c r="H67" i="43"/>
  <c r="K67" i="43" s="1"/>
  <c r="M66" i="43"/>
  <c r="L66" i="43"/>
  <c r="J66" i="43"/>
  <c r="I66" i="43"/>
  <c r="H66" i="43"/>
  <c r="K66" i="43" s="1"/>
  <c r="M65" i="43"/>
  <c r="L65" i="43"/>
  <c r="J65" i="43"/>
  <c r="I65" i="43"/>
  <c r="H65" i="43"/>
  <c r="K65" i="43" s="1"/>
  <c r="M64" i="43"/>
  <c r="L64" i="43"/>
  <c r="J64" i="43"/>
  <c r="I64" i="43"/>
  <c r="H64" i="43"/>
  <c r="K64" i="43" s="1"/>
  <c r="M63" i="43"/>
  <c r="L63" i="43"/>
  <c r="J63" i="43"/>
  <c r="I63" i="43"/>
  <c r="H63" i="43"/>
  <c r="K63" i="43" s="1"/>
  <c r="M62" i="43"/>
  <c r="L62" i="43"/>
  <c r="J62" i="43"/>
  <c r="I62" i="43"/>
  <c r="H62" i="43"/>
  <c r="K62" i="43" s="1"/>
  <c r="M61" i="43"/>
  <c r="L61" i="43"/>
  <c r="J61" i="43"/>
  <c r="I61" i="43"/>
  <c r="H61" i="43"/>
  <c r="K61" i="43" s="1"/>
  <c r="M60" i="43"/>
  <c r="L60" i="43"/>
  <c r="J60" i="43"/>
  <c r="I60" i="43"/>
  <c r="H60" i="43"/>
  <c r="K60" i="43" s="1"/>
  <c r="M59" i="43"/>
  <c r="L59" i="43"/>
  <c r="J59" i="43"/>
  <c r="I59" i="43"/>
  <c r="H59" i="43"/>
  <c r="K59" i="43" s="1"/>
  <c r="M58" i="43"/>
  <c r="L58" i="43"/>
  <c r="J58" i="43"/>
  <c r="I58" i="43"/>
  <c r="H58" i="43"/>
  <c r="K58" i="43" s="1"/>
  <c r="M57" i="43"/>
  <c r="L57" i="43"/>
  <c r="J57" i="43"/>
  <c r="I57" i="43"/>
  <c r="H57" i="43"/>
  <c r="K57" i="43" s="1"/>
  <c r="M56" i="43"/>
  <c r="L56" i="43"/>
  <c r="J56" i="43"/>
  <c r="I56" i="43"/>
  <c r="H56" i="43"/>
  <c r="K56" i="43" s="1"/>
  <c r="M55" i="43"/>
  <c r="L55" i="43"/>
  <c r="J55" i="43"/>
  <c r="I55" i="43"/>
  <c r="H55" i="43"/>
  <c r="K55" i="43" s="1"/>
  <c r="M54" i="43"/>
  <c r="L54" i="43"/>
  <c r="J54" i="43"/>
  <c r="I54" i="43"/>
  <c r="H54" i="43"/>
  <c r="K54" i="43" s="1"/>
  <c r="M53" i="43"/>
  <c r="L53" i="43"/>
  <c r="J53" i="43"/>
  <c r="I53" i="43"/>
  <c r="H53" i="43"/>
  <c r="K53" i="43" s="1"/>
  <c r="M52" i="43"/>
  <c r="L52" i="43"/>
  <c r="J52" i="43"/>
  <c r="I52" i="43"/>
  <c r="H52" i="43"/>
  <c r="K52" i="43" s="1"/>
  <c r="M51" i="43"/>
  <c r="L51" i="43"/>
  <c r="J51" i="43"/>
  <c r="I51" i="43"/>
  <c r="H51" i="43"/>
  <c r="K51" i="43" s="1"/>
  <c r="M50" i="43"/>
  <c r="L50" i="43"/>
  <c r="J50" i="43"/>
  <c r="I50" i="43"/>
  <c r="H50" i="43"/>
  <c r="K50" i="43" s="1"/>
  <c r="M49" i="43"/>
  <c r="L49" i="43"/>
  <c r="J49" i="43"/>
  <c r="I49" i="43"/>
  <c r="H49" i="43"/>
  <c r="K49" i="43" s="1"/>
  <c r="M48" i="43"/>
  <c r="L48" i="43"/>
  <c r="J48" i="43"/>
  <c r="I48" i="43"/>
  <c r="H48" i="43"/>
  <c r="K48" i="43" s="1"/>
  <c r="M47" i="43"/>
  <c r="L47" i="43"/>
  <c r="J47" i="43"/>
  <c r="I47" i="43"/>
  <c r="H47" i="43"/>
  <c r="K47" i="43" s="1"/>
  <c r="M46" i="43"/>
  <c r="L46" i="43"/>
  <c r="J46" i="43"/>
  <c r="I46" i="43"/>
  <c r="H46" i="43"/>
  <c r="K46" i="43" s="1"/>
  <c r="M45" i="43"/>
  <c r="L45" i="43"/>
  <c r="J45" i="43"/>
  <c r="I45" i="43"/>
  <c r="H45" i="43"/>
  <c r="K45" i="43" s="1"/>
  <c r="M44" i="43"/>
  <c r="L44" i="43"/>
  <c r="J44" i="43"/>
  <c r="I44" i="43"/>
  <c r="H44" i="43"/>
  <c r="K44" i="43" s="1"/>
  <c r="M43" i="43"/>
  <c r="L43" i="43"/>
  <c r="J43" i="43"/>
  <c r="I43" i="43"/>
  <c r="H43" i="43"/>
  <c r="K43" i="43" s="1"/>
  <c r="M41" i="43"/>
  <c r="L41" i="43"/>
  <c r="J41" i="43"/>
  <c r="I41" i="43"/>
  <c r="H41" i="43"/>
  <c r="K41" i="43" s="1"/>
  <c r="M40" i="43"/>
  <c r="L40" i="43"/>
  <c r="J40" i="43"/>
  <c r="I40" i="43"/>
  <c r="H40" i="43"/>
  <c r="K40" i="43" s="1"/>
  <c r="M39" i="43"/>
  <c r="L39" i="43"/>
  <c r="J39" i="43"/>
  <c r="I39" i="43"/>
  <c r="H39" i="43"/>
  <c r="K39" i="43" s="1"/>
  <c r="M38" i="43"/>
  <c r="L38" i="43"/>
  <c r="J38" i="43"/>
  <c r="I38" i="43"/>
  <c r="H38" i="43"/>
  <c r="K38" i="43" s="1"/>
  <c r="M37" i="43"/>
  <c r="L37" i="43"/>
  <c r="J37" i="43"/>
  <c r="I37" i="43"/>
  <c r="H37" i="43"/>
  <c r="K37" i="43" s="1"/>
  <c r="M36" i="43"/>
  <c r="L36" i="43"/>
  <c r="J36" i="43"/>
  <c r="I36" i="43"/>
  <c r="H36" i="43"/>
  <c r="K36" i="43" s="1"/>
  <c r="M35" i="43"/>
  <c r="L35" i="43"/>
  <c r="J35" i="43"/>
  <c r="I35" i="43"/>
  <c r="H35" i="43"/>
  <c r="K35" i="43" s="1"/>
  <c r="M34" i="43"/>
  <c r="L34" i="43"/>
  <c r="J34" i="43"/>
  <c r="I34" i="43"/>
  <c r="H34" i="43"/>
  <c r="K34" i="43" s="1"/>
  <c r="M33" i="43"/>
  <c r="L33" i="43"/>
  <c r="J33" i="43"/>
  <c r="I33" i="43"/>
  <c r="H33" i="43"/>
  <c r="K33" i="43" s="1"/>
  <c r="M32" i="43"/>
  <c r="L32" i="43"/>
  <c r="J32" i="43"/>
  <c r="I32" i="43"/>
  <c r="H32" i="43"/>
  <c r="K32" i="43" s="1"/>
  <c r="M31" i="43"/>
  <c r="L31" i="43"/>
  <c r="J31" i="43"/>
  <c r="I31" i="43"/>
  <c r="H31" i="43"/>
  <c r="K31" i="43" s="1"/>
  <c r="M30" i="43"/>
  <c r="L30" i="43"/>
  <c r="J30" i="43"/>
  <c r="I30" i="43"/>
  <c r="H30" i="43"/>
  <c r="K30" i="43" s="1"/>
  <c r="M29" i="43"/>
  <c r="L29" i="43"/>
  <c r="J29" i="43"/>
  <c r="I29" i="43"/>
  <c r="H29" i="43"/>
  <c r="K29" i="43" s="1"/>
  <c r="M27" i="43"/>
  <c r="L27" i="43"/>
  <c r="J27" i="43"/>
  <c r="I27" i="43"/>
  <c r="H27" i="43"/>
  <c r="K27" i="43" s="1"/>
  <c r="M26" i="43"/>
  <c r="L26" i="43"/>
  <c r="J26" i="43"/>
  <c r="I26" i="43"/>
  <c r="H26" i="43"/>
  <c r="K26" i="43" s="1"/>
  <c r="M25" i="43"/>
  <c r="L25" i="43"/>
  <c r="J25" i="43"/>
  <c r="I25" i="43"/>
  <c r="H25" i="43"/>
  <c r="K25" i="43" s="1"/>
  <c r="M24" i="43"/>
  <c r="L24" i="43"/>
  <c r="J24" i="43"/>
  <c r="I24" i="43"/>
  <c r="H24" i="43"/>
  <c r="K24" i="43" s="1"/>
  <c r="M23" i="43"/>
  <c r="L23" i="43"/>
  <c r="J23" i="43"/>
  <c r="I23" i="43"/>
  <c r="H23" i="43"/>
  <c r="K23" i="43" s="1"/>
  <c r="M22" i="43"/>
  <c r="L22" i="43"/>
  <c r="J22" i="43"/>
  <c r="I22" i="43"/>
  <c r="H22" i="43"/>
  <c r="K22" i="43" s="1"/>
  <c r="M21" i="43"/>
  <c r="L21" i="43"/>
  <c r="J21" i="43"/>
  <c r="I21" i="43"/>
  <c r="H21" i="43"/>
  <c r="K21" i="43" s="1"/>
  <c r="M20" i="43"/>
  <c r="L20" i="43"/>
  <c r="J20" i="43"/>
  <c r="I20" i="43"/>
  <c r="H20" i="43"/>
  <c r="K20" i="43" s="1"/>
  <c r="M19" i="43"/>
  <c r="L19" i="43"/>
  <c r="J19" i="43"/>
  <c r="I19" i="43"/>
  <c r="H19" i="43"/>
  <c r="K19" i="43" s="1"/>
  <c r="M18" i="43"/>
  <c r="L18" i="43"/>
  <c r="J18" i="43"/>
  <c r="I18" i="43"/>
  <c r="H18" i="43"/>
  <c r="K18" i="43" s="1"/>
  <c r="M17" i="43"/>
  <c r="L17" i="43"/>
  <c r="J17" i="43"/>
  <c r="I17" i="43"/>
  <c r="H17" i="43"/>
  <c r="K17" i="43" s="1"/>
  <c r="M16" i="43"/>
  <c r="L16" i="43"/>
  <c r="J16" i="43"/>
  <c r="I16" i="43"/>
  <c r="H16" i="43"/>
  <c r="K16" i="43" s="1"/>
  <c r="M15" i="43"/>
  <c r="L15" i="43"/>
  <c r="J15" i="43"/>
  <c r="I15" i="43"/>
  <c r="H15" i="43"/>
  <c r="K15" i="43" s="1"/>
  <c r="M14" i="43"/>
  <c r="L14" i="43"/>
  <c r="J14" i="43"/>
  <c r="I14" i="43"/>
  <c r="H14" i="43"/>
  <c r="K14" i="43" s="1"/>
  <c r="M13" i="43"/>
  <c r="L13" i="43"/>
  <c r="J13" i="43"/>
  <c r="I13" i="43"/>
  <c r="H13" i="43"/>
  <c r="K13" i="43" s="1"/>
  <c r="M12" i="43"/>
  <c r="L12" i="43"/>
  <c r="J12" i="43"/>
  <c r="I12" i="43"/>
  <c r="H12" i="43"/>
  <c r="K12" i="43" s="1"/>
  <c r="M11" i="43"/>
  <c r="L11" i="43"/>
  <c r="J11" i="43"/>
  <c r="I11" i="43"/>
  <c r="H11" i="43"/>
  <c r="K11" i="43" s="1"/>
  <c r="M10" i="43"/>
  <c r="L10" i="43"/>
  <c r="J10" i="43"/>
  <c r="I10" i="43"/>
  <c r="H10" i="43"/>
  <c r="K10" i="43" s="1"/>
  <c r="M9" i="43"/>
  <c r="L9" i="43"/>
  <c r="J9" i="43"/>
  <c r="I9" i="43"/>
  <c r="H9" i="43"/>
  <c r="K9" i="43" s="1"/>
  <c r="M8" i="43"/>
  <c r="L8" i="43"/>
  <c r="J8" i="43"/>
  <c r="I8" i="43"/>
  <c r="H8" i="43"/>
  <c r="K8" i="43" s="1"/>
  <c r="M7" i="43"/>
  <c r="L7" i="43"/>
  <c r="J7" i="43"/>
  <c r="I7" i="43"/>
  <c r="H7" i="43"/>
  <c r="K7" i="43" s="1"/>
  <c r="M6" i="43"/>
  <c r="L6" i="43"/>
  <c r="J6" i="43"/>
  <c r="I6" i="43"/>
  <c r="H6" i="43"/>
  <c r="K6" i="43" s="1"/>
  <c r="M5" i="43"/>
  <c r="L5" i="43"/>
  <c r="J5" i="43"/>
  <c r="I5" i="43"/>
  <c r="H5" i="43"/>
  <c r="K5" i="43" s="1"/>
  <c r="H58" i="42"/>
  <c r="H64" i="42"/>
  <c r="I64" i="42"/>
  <c r="J64" i="42"/>
  <c r="M6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9" i="42"/>
  <c r="H60" i="42"/>
  <c r="H61" i="42"/>
  <c r="H62" i="42"/>
  <c r="H63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M97" i="43" l="1"/>
  <c r="K97" i="43"/>
  <c r="G102" i="43"/>
  <c r="D153" i="43"/>
  <c r="I97" i="43"/>
  <c r="L97" i="43"/>
  <c r="J97" i="43"/>
  <c r="K64" i="42"/>
  <c r="L64" i="42"/>
  <c r="C158" i="42"/>
  <c r="D150" i="42"/>
  <c r="D141" i="42"/>
  <c r="M93" i="42"/>
  <c r="L93" i="42"/>
  <c r="J93" i="42"/>
  <c r="I93" i="42"/>
  <c r="K93" i="42"/>
  <c r="M92" i="42"/>
  <c r="L92" i="42"/>
  <c r="J92" i="42"/>
  <c r="I92" i="42"/>
  <c r="K92" i="42"/>
  <c r="M91" i="42"/>
  <c r="L91" i="42"/>
  <c r="J91" i="42"/>
  <c r="I91" i="42"/>
  <c r="K91" i="42"/>
  <c r="M90" i="42"/>
  <c r="L90" i="42"/>
  <c r="J90" i="42"/>
  <c r="I90" i="42"/>
  <c r="M89" i="42"/>
  <c r="L89" i="42"/>
  <c r="J89" i="42"/>
  <c r="I89" i="42"/>
  <c r="J88" i="42"/>
  <c r="I88" i="42"/>
  <c r="J87" i="42"/>
  <c r="I87" i="42"/>
  <c r="J86" i="42"/>
  <c r="I86" i="42"/>
  <c r="J85" i="42"/>
  <c r="I85" i="42"/>
  <c r="J84" i="42"/>
  <c r="I84" i="42"/>
  <c r="J83" i="42"/>
  <c r="I83" i="42"/>
  <c r="J82" i="42"/>
  <c r="I82" i="42"/>
  <c r="J81" i="42"/>
  <c r="I81" i="42"/>
  <c r="M80" i="42"/>
  <c r="L80" i="42"/>
  <c r="J80" i="42"/>
  <c r="I80" i="42"/>
  <c r="K80" i="42"/>
  <c r="M79" i="42"/>
  <c r="L79" i="42"/>
  <c r="J79" i="42"/>
  <c r="I79" i="42"/>
  <c r="K79" i="42"/>
  <c r="J78" i="42"/>
  <c r="I78" i="42"/>
  <c r="M77" i="42"/>
  <c r="L77" i="42"/>
  <c r="J77" i="42"/>
  <c r="I77" i="42"/>
  <c r="K77" i="42"/>
  <c r="M76" i="42"/>
  <c r="L76" i="42"/>
  <c r="J76" i="42"/>
  <c r="I76" i="42"/>
  <c r="K76" i="42"/>
  <c r="M75" i="42"/>
  <c r="L75" i="42"/>
  <c r="J75" i="42"/>
  <c r="I75" i="42"/>
  <c r="K75" i="42"/>
  <c r="M74" i="42"/>
  <c r="L74" i="42"/>
  <c r="J74" i="42"/>
  <c r="I74" i="42"/>
  <c r="K74" i="42"/>
  <c r="M73" i="42"/>
  <c r="L73" i="42"/>
  <c r="J73" i="42"/>
  <c r="I73" i="42"/>
  <c r="K73" i="42"/>
  <c r="M72" i="42"/>
  <c r="L72" i="42"/>
  <c r="J72" i="42"/>
  <c r="I72" i="42"/>
  <c r="K72" i="42"/>
  <c r="M71" i="42"/>
  <c r="L71" i="42"/>
  <c r="J71" i="42"/>
  <c r="I71" i="42"/>
  <c r="K71" i="42"/>
  <c r="M70" i="42"/>
  <c r="L70" i="42"/>
  <c r="J70" i="42"/>
  <c r="I70" i="42"/>
  <c r="K70" i="42"/>
  <c r="M69" i="42"/>
  <c r="L69" i="42"/>
  <c r="J69" i="42"/>
  <c r="I69" i="42"/>
  <c r="K69" i="42"/>
  <c r="M68" i="42"/>
  <c r="L68" i="42"/>
  <c r="J68" i="42"/>
  <c r="I68" i="42"/>
  <c r="K68" i="42"/>
  <c r="M67" i="42"/>
  <c r="L67" i="42"/>
  <c r="J67" i="42"/>
  <c r="I67" i="42"/>
  <c r="K67" i="42"/>
  <c r="M66" i="42"/>
  <c r="L66" i="42"/>
  <c r="J66" i="42"/>
  <c r="I66" i="42"/>
  <c r="K66" i="42"/>
  <c r="M65" i="42"/>
  <c r="L65" i="42"/>
  <c r="J65" i="42"/>
  <c r="I65" i="42"/>
  <c r="K65" i="42"/>
  <c r="M63" i="42"/>
  <c r="L63" i="42"/>
  <c r="J63" i="42"/>
  <c r="I63" i="42"/>
  <c r="K63" i="42"/>
  <c r="M62" i="42"/>
  <c r="L62" i="42"/>
  <c r="J62" i="42"/>
  <c r="I62" i="42"/>
  <c r="K62" i="42"/>
  <c r="M61" i="42"/>
  <c r="L61" i="42"/>
  <c r="J61" i="42"/>
  <c r="I61" i="42"/>
  <c r="K61" i="42"/>
  <c r="M60" i="42"/>
  <c r="L60" i="42"/>
  <c r="J60" i="42"/>
  <c r="I60" i="42"/>
  <c r="K60" i="42"/>
  <c r="M59" i="42"/>
  <c r="L59" i="42"/>
  <c r="J59" i="42"/>
  <c r="I59" i="42"/>
  <c r="K59" i="42"/>
  <c r="M58" i="42"/>
  <c r="L58" i="42"/>
  <c r="J58" i="42"/>
  <c r="I58" i="42"/>
  <c r="K58" i="42"/>
  <c r="M57" i="42"/>
  <c r="L57" i="42"/>
  <c r="J57" i="42"/>
  <c r="I57" i="42"/>
  <c r="K57" i="42"/>
  <c r="M56" i="42"/>
  <c r="L56" i="42"/>
  <c r="J56" i="42"/>
  <c r="I56" i="42"/>
  <c r="K56" i="42"/>
  <c r="M55" i="42"/>
  <c r="L55" i="42"/>
  <c r="J55" i="42"/>
  <c r="I55" i="42"/>
  <c r="K55" i="42"/>
  <c r="M54" i="42"/>
  <c r="L54" i="42"/>
  <c r="J54" i="42"/>
  <c r="I54" i="42"/>
  <c r="K54" i="42"/>
  <c r="M53" i="42"/>
  <c r="L53" i="42"/>
  <c r="J53" i="42"/>
  <c r="I53" i="42"/>
  <c r="K53" i="42"/>
  <c r="M52" i="42"/>
  <c r="L52" i="42"/>
  <c r="J52" i="42"/>
  <c r="I52" i="42"/>
  <c r="K52" i="42"/>
  <c r="M51" i="42"/>
  <c r="L51" i="42"/>
  <c r="J51" i="42"/>
  <c r="I51" i="42"/>
  <c r="K51" i="42"/>
  <c r="M50" i="42"/>
  <c r="L50" i="42"/>
  <c r="J50" i="42"/>
  <c r="I50" i="42"/>
  <c r="K50" i="42"/>
  <c r="M49" i="42"/>
  <c r="L49" i="42"/>
  <c r="J49" i="42"/>
  <c r="I49" i="42"/>
  <c r="K49" i="42"/>
  <c r="M48" i="42"/>
  <c r="L48" i="42"/>
  <c r="J48" i="42"/>
  <c r="I48" i="42"/>
  <c r="K48" i="42"/>
  <c r="M47" i="42"/>
  <c r="L47" i="42"/>
  <c r="J47" i="42"/>
  <c r="I47" i="42"/>
  <c r="K47" i="42"/>
  <c r="M46" i="42"/>
  <c r="L46" i="42"/>
  <c r="J46" i="42"/>
  <c r="I46" i="42"/>
  <c r="K46" i="42"/>
  <c r="M45" i="42"/>
  <c r="L45" i="42"/>
  <c r="J45" i="42"/>
  <c r="I45" i="42"/>
  <c r="K45" i="42"/>
  <c r="M44" i="42"/>
  <c r="L44" i="42"/>
  <c r="J44" i="42"/>
  <c r="I44" i="42"/>
  <c r="K44" i="42"/>
  <c r="M43" i="42"/>
  <c r="L43" i="42"/>
  <c r="J43" i="42"/>
  <c r="I43" i="42"/>
  <c r="K43" i="42"/>
  <c r="M42" i="42"/>
  <c r="L42" i="42"/>
  <c r="J42" i="42"/>
  <c r="I42" i="42"/>
  <c r="K42" i="42"/>
  <c r="M41" i="42"/>
  <c r="L41" i="42"/>
  <c r="J41" i="42"/>
  <c r="I41" i="42"/>
  <c r="K41" i="42"/>
  <c r="M40" i="42"/>
  <c r="L40" i="42"/>
  <c r="J40" i="42"/>
  <c r="I40" i="42"/>
  <c r="K40" i="42"/>
  <c r="M39" i="42"/>
  <c r="L39" i="42"/>
  <c r="J39" i="42"/>
  <c r="I39" i="42"/>
  <c r="K39" i="42"/>
  <c r="M38" i="42"/>
  <c r="L38" i="42"/>
  <c r="J38" i="42"/>
  <c r="I38" i="42"/>
  <c r="K38" i="42"/>
  <c r="M37" i="42"/>
  <c r="L37" i="42"/>
  <c r="J37" i="42"/>
  <c r="I37" i="42"/>
  <c r="K37" i="42"/>
  <c r="M36" i="42"/>
  <c r="L36" i="42"/>
  <c r="J36" i="42"/>
  <c r="I36" i="42"/>
  <c r="K36" i="42"/>
  <c r="M35" i="42"/>
  <c r="L35" i="42"/>
  <c r="J35" i="42"/>
  <c r="I35" i="42"/>
  <c r="K35" i="42"/>
  <c r="M34" i="42"/>
  <c r="L34" i="42"/>
  <c r="J34" i="42"/>
  <c r="I34" i="42"/>
  <c r="K34" i="42"/>
  <c r="M33" i="42"/>
  <c r="L33" i="42"/>
  <c r="J33" i="42"/>
  <c r="I33" i="42"/>
  <c r="K33" i="42"/>
  <c r="M32" i="42"/>
  <c r="L32" i="42"/>
  <c r="J32" i="42"/>
  <c r="I32" i="42"/>
  <c r="K32" i="42"/>
  <c r="M31" i="42"/>
  <c r="L31" i="42"/>
  <c r="J31" i="42"/>
  <c r="I31" i="42"/>
  <c r="K31" i="42"/>
  <c r="M30" i="42"/>
  <c r="L30" i="42"/>
  <c r="J30" i="42"/>
  <c r="I30" i="42"/>
  <c r="K30" i="42"/>
  <c r="M29" i="42"/>
  <c r="L29" i="42"/>
  <c r="J29" i="42"/>
  <c r="I29" i="42"/>
  <c r="K29" i="42"/>
  <c r="M28" i="42"/>
  <c r="L28" i="42"/>
  <c r="J28" i="42"/>
  <c r="I28" i="42"/>
  <c r="K28" i="42"/>
  <c r="M27" i="42"/>
  <c r="L27" i="42"/>
  <c r="J27" i="42"/>
  <c r="I27" i="42"/>
  <c r="K27" i="42"/>
  <c r="M26" i="42"/>
  <c r="L26" i="42"/>
  <c r="J26" i="42"/>
  <c r="I26" i="42"/>
  <c r="K26" i="42"/>
  <c r="M25" i="42"/>
  <c r="L25" i="42"/>
  <c r="K25" i="42"/>
  <c r="J25" i="42"/>
  <c r="I25" i="42"/>
  <c r="M24" i="42"/>
  <c r="L24" i="42"/>
  <c r="K24" i="42"/>
  <c r="J24" i="42"/>
  <c r="I24" i="42"/>
  <c r="M23" i="42"/>
  <c r="L23" i="42"/>
  <c r="K23" i="42"/>
  <c r="J23" i="42"/>
  <c r="I23" i="42"/>
  <c r="M22" i="42"/>
  <c r="L22" i="42"/>
  <c r="K22" i="42"/>
  <c r="J22" i="42"/>
  <c r="I22" i="42"/>
  <c r="M21" i="42"/>
  <c r="L21" i="42"/>
  <c r="K21" i="42"/>
  <c r="J21" i="42"/>
  <c r="I21" i="42"/>
  <c r="M20" i="42"/>
  <c r="L20" i="42"/>
  <c r="K20" i="42"/>
  <c r="J20" i="42"/>
  <c r="I20" i="42"/>
  <c r="M19" i="42"/>
  <c r="L19" i="42"/>
  <c r="K19" i="42"/>
  <c r="J19" i="42"/>
  <c r="I19" i="42"/>
  <c r="M18" i="42"/>
  <c r="L18" i="42"/>
  <c r="K18" i="42"/>
  <c r="J18" i="42"/>
  <c r="I18" i="42"/>
  <c r="M17" i="42"/>
  <c r="L17" i="42"/>
  <c r="K17" i="42"/>
  <c r="J17" i="42"/>
  <c r="I17" i="42"/>
  <c r="M16" i="42"/>
  <c r="L16" i="42"/>
  <c r="K16" i="42"/>
  <c r="J16" i="42"/>
  <c r="I16" i="42"/>
  <c r="M15" i="42"/>
  <c r="L15" i="42"/>
  <c r="K15" i="42"/>
  <c r="J15" i="42"/>
  <c r="I15" i="42"/>
  <c r="M14" i="42"/>
  <c r="L14" i="42"/>
  <c r="K14" i="42"/>
  <c r="J14" i="42"/>
  <c r="I14" i="42"/>
  <c r="M13" i="42"/>
  <c r="L13" i="42"/>
  <c r="K13" i="42"/>
  <c r="J13" i="42"/>
  <c r="I13" i="42"/>
  <c r="M12" i="42"/>
  <c r="L12" i="42"/>
  <c r="K12" i="42"/>
  <c r="J12" i="42"/>
  <c r="I12" i="42"/>
  <c r="M11" i="42"/>
  <c r="L11" i="42"/>
  <c r="K11" i="42"/>
  <c r="J11" i="42"/>
  <c r="I11" i="42"/>
  <c r="M10" i="42"/>
  <c r="L10" i="42"/>
  <c r="K10" i="42"/>
  <c r="J10" i="42"/>
  <c r="I10" i="42"/>
  <c r="M9" i="42"/>
  <c r="L9" i="42"/>
  <c r="K9" i="42"/>
  <c r="J9" i="42"/>
  <c r="I9" i="42"/>
  <c r="M8" i="42"/>
  <c r="L8" i="42"/>
  <c r="K8" i="42"/>
  <c r="J8" i="42"/>
  <c r="I8" i="42"/>
  <c r="M7" i="42"/>
  <c r="L7" i="42"/>
  <c r="K7" i="42"/>
  <c r="J7" i="42"/>
  <c r="I7" i="42"/>
  <c r="M6" i="42"/>
  <c r="L6" i="42"/>
  <c r="J6" i="42"/>
  <c r="I6" i="42"/>
  <c r="K6" i="42"/>
  <c r="M5" i="42"/>
  <c r="L5" i="42"/>
  <c r="J5" i="42"/>
  <c r="I5" i="42"/>
  <c r="K5" i="42"/>
  <c r="D140" i="41"/>
  <c r="D152" i="42" l="1"/>
  <c r="I94" i="42"/>
  <c r="L94" i="42"/>
  <c r="M94" i="42"/>
  <c r="G99" i="42"/>
  <c r="K94" i="42"/>
  <c r="J94" i="42"/>
  <c r="C156" i="41"/>
  <c r="D148" i="41"/>
  <c r="D150" i="41" s="1"/>
  <c r="M92" i="41"/>
  <c r="L92" i="41"/>
  <c r="J92" i="41"/>
  <c r="I92" i="41"/>
  <c r="H92" i="41"/>
  <c r="K92" i="41" s="1"/>
  <c r="M91" i="41"/>
  <c r="L91" i="41"/>
  <c r="J91" i="41"/>
  <c r="I91" i="41"/>
  <c r="H91" i="41"/>
  <c r="K91" i="41" s="1"/>
  <c r="M90" i="41"/>
  <c r="L90" i="41"/>
  <c r="J90" i="41"/>
  <c r="I90" i="41"/>
  <c r="H90" i="41"/>
  <c r="K90" i="41" s="1"/>
  <c r="M89" i="41"/>
  <c r="L89" i="41"/>
  <c r="J89" i="41"/>
  <c r="I89" i="41"/>
  <c r="H89" i="41"/>
  <c r="M88" i="41"/>
  <c r="L88" i="41"/>
  <c r="J88" i="41"/>
  <c r="I88" i="41"/>
  <c r="H88" i="41"/>
  <c r="J87" i="41"/>
  <c r="I87" i="41"/>
  <c r="H87" i="41"/>
  <c r="J86" i="41"/>
  <c r="I86" i="41"/>
  <c r="H86" i="41"/>
  <c r="J85" i="41"/>
  <c r="I85" i="41"/>
  <c r="H85" i="41"/>
  <c r="J84" i="41"/>
  <c r="I84" i="41"/>
  <c r="H84" i="41"/>
  <c r="J83" i="41"/>
  <c r="I83" i="41"/>
  <c r="H83" i="41"/>
  <c r="J82" i="41"/>
  <c r="I82" i="41"/>
  <c r="H82" i="41"/>
  <c r="J81" i="41"/>
  <c r="I81" i="41"/>
  <c r="H81" i="41"/>
  <c r="J80" i="41"/>
  <c r="I80" i="41"/>
  <c r="H80" i="41"/>
  <c r="M79" i="41"/>
  <c r="L79" i="41"/>
  <c r="J79" i="41"/>
  <c r="I79" i="41"/>
  <c r="H79" i="41"/>
  <c r="K79" i="41" s="1"/>
  <c r="M78" i="41"/>
  <c r="L78" i="41"/>
  <c r="J78" i="41"/>
  <c r="I78" i="41"/>
  <c r="H78" i="41"/>
  <c r="K78" i="41" s="1"/>
  <c r="J77" i="41"/>
  <c r="I77" i="41"/>
  <c r="H77" i="41"/>
  <c r="M76" i="41"/>
  <c r="L76" i="41"/>
  <c r="J76" i="41"/>
  <c r="I76" i="41"/>
  <c r="H76" i="41"/>
  <c r="K76" i="41" s="1"/>
  <c r="M75" i="41"/>
  <c r="L75" i="41"/>
  <c r="J75" i="41"/>
  <c r="I75" i="41"/>
  <c r="H75" i="41"/>
  <c r="K75" i="41" s="1"/>
  <c r="M74" i="41"/>
  <c r="L74" i="41"/>
  <c r="J74" i="41"/>
  <c r="I74" i="41"/>
  <c r="H74" i="41"/>
  <c r="K74" i="41" s="1"/>
  <c r="M73" i="41"/>
  <c r="L73" i="41"/>
  <c r="J73" i="41"/>
  <c r="I73" i="41"/>
  <c r="H73" i="41"/>
  <c r="K73" i="41" s="1"/>
  <c r="M72" i="41"/>
  <c r="L72" i="41"/>
  <c r="J72" i="41"/>
  <c r="I72" i="41"/>
  <c r="H72" i="41"/>
  <c r="K72" i="41" s="1"/>
  <c r="M71" i="41"/>
  <c r="L71" i="41"/>
  <c r="J71" i="41"/>
  <c r="I71" i="41"/>
  <c r="H71" i="41"/>
  <c r="K71" i="41" s="1"/>
  <c r="M70" i="41"/>
  <c r="L70" i="41"/>
  <c r="J70" i="41"/>
  <c r="I70" i="41"/>
  <c r="H70" i="41"/>
  <c r="K70" i="41" s="1"/>
  <c r="M69" i="41"/>
  <c r="L69" i="41"/>
  <c r="J69" i="41"/>
  <c r="I69" i="41"/>
  <c r="H69" i="41"/>
  <c r="K69" i="41" s="1"/>
  <c r="M68" i="41"/>
  <c r="L68" i="41"/>
  <c r="J68" i="41"/>
  <c r="I68" i="41"/>
  <c r="H68" i="41"/>
  <c r="K68" i="41" s="1"/>
  <c r="M67" i="41"/>
  <c r="L67" i="41"/>
  <c r="J67" i="41"/>
  <c r="I67" i="41"/>
  <c r="H67" i="41"/>
  <c r="K67" i="41" s="1"/>
  <c r="M66" i="41"/>
  <c r="L66" i="41"/>
  <c r="J66" i="41"/>
  <c r="I66" i="41"/>
  <c r="H66" i="41"/>
  <c r="K66" i="41" s="1"/>
  <c r="M65" i="41"/>
  <c r="L65" i="41"/>
  <c r="J65" i="41"/>
  <c r="I65" i="41"/>
  <c r="H65" i="41"/>
  <c r="K65" i="41" s="1"/>
  <c r="M64" i="41"/>
  <c r="L64" i="41"/>
  <c r="J64" i="41"/>
  <c r="I64" i="41"/>
  <c r="H64" i="41"/>
  <c r="K64" i="41" s="1"/>
  <c r="M63" i="41"/>
  <c r="L63" i="41"/>
  <c r="J63" i="41"/>
  <c r="I63" i="41"/>
  <c r="H63" i="41"/>
  <c r="K63" i="41" s="1"/>
  <c r="M62" i="41"/>
  <c r="L62" i="41"/>
  <c r="J62" i="41"/>
  <c r="I62" i="41"/>
  <c r="H62" i="41"/>
  <c r="K62" i="41" s="1"/>
  <c r="M61" i="41"/>
  <c r="L61" i="41"/>
  <c r="J61" i="41"/>
  <c r="I61" i="41"/>
  <c r="H61" i="41"/>
  <c r="K61" i="41" s="1"/>
  <c r="M60" i="41"/>
  <c r="L60" i="41"/>
  <c r="J60" i="41"/>
  <c r="I60" i="41"/>
  <c r="H60" i="41"/>
  <c r="K60" i="41" s="1"/>
  <c r="M59" i="41"/>
  <c r="L59" i="41"/>
  <c r="J59" i="41"/>
  <c r="I59" i="41"/>
  <c r="H59" i="41"/>
  <c r="K59" i="41" s="1"/>
  <c r="M58" i="41"/>
  <c r="L58" i="41"/>
  <c r="J58" i="41"/>
  <c r="I58" i="41"/>
  <c r="H58" i="41"/>
  <c r="K58" i="41" s="1"/>
  <c r="M57" i="41"/>
  <c r="L57" i="41"/>
  <c r="J57" i="41"/>
  <c r="I57" i="41"/>
  <c r="H57" i="41"/>
  <c r="K57" i="41" s="1"/>
  <c r="M56" i="41"/>
  <c r="L56" i="41"/>
  <c r="J56" i="41"/>
  <c r="I56" i="41"/>
  <c r="H56" i="41"/>
  <c r="K56" i="41" s="1"/>
  <c r="M55" i="41"/>
  <c r="L55" i="41"/>
  <c r="J55" i="41"/>
  <c r="I55" i="41"/>
  <c r="H55" i="41"/>
  <c r="K55" i="41" s="1"/>
  <c r="M54" i="41"/>
  <c r="L54" i="41"/>
  <c r="J54" i="41"/>
  <c r="I54" i="41"/>
  <c r="H54" i="41"/>
  <c r="K54" i="41" s="1"/>
  <c r="M53" i="41"/>
  <c r="L53" i="41"/>
  <c r="J53" i="41"/>
  <c r="I53" i="41"/>
  <c r="H53" i="41"/>
  <c r="K53" i="41" s="1"/>
  <c r="M52" i="41"/>
  <c r="L52" i="41"/>
  <c r="J52" i="41"/>
  <c r="I52" i="41"/>
  <c r="H52" i="41"/>
  <c r="K52" i="41" s="1"/>
  <c r="M51" i="41"/>
  <c r="L51" i="41"/>
  <c r="J51" i="41"/>
  <c r="I51" i="41"/>
  <c r="H51" i="41"/>
  <c r="K51" i="41" s="1"/>
  <c r="M50" i="41"/>
  <c r="L50" i="41"/>
  <c r="J50" i="41"/>
  <c r="I50" i="41"/>
  <c r="H50" i="41"/>
  <c r="K50" i="41" s="1"/>
  <c r="M49" i="41"/>
  <c r="L49" i="41"/>
  <c r="J49" i="41"/>
  <c r="I49" i="41"/>
  <c r="H49" i="41"/>
  <c r="K49" i="41" s="1"/>
  <c r="M48" i="41"/>
  <c r="L48" i="41"/>
  <c r="J48" i="41"/>
  <c r="I48" i="41"/>
  <c r="H48" i="41"/>
  <c r="K48" i="41" s="1"/>
  <c r="M47" i="41"/>
  <c r="L47" i="41"/>
  <c r="J47" i="41"/>
  <c r="I47" i="41"/>
  <c r="H47" i="41"/>
  <c r="K47" i="41" s="1"/>
  <c r="M46" i="41"/>
  <c r="L46" i="41"/>
  <c r="J46" i="41"/>
  <c r="I46" i="41"/>
  <c r="H46" i="41"/>
  <c r="K46" i="41" s="1"/>
  <c r="M45" i="41"/>
  <c r="L45" i="41"/>
  <c r="J45" i="41"/>
  <c r="I45" i="41"/>
  <c r="H45" i="41"/>
  <c r="K45" i="41" s="1"/>
  <c r="M44" i="41"/>
  <c r="L44" i="41"/>
  <c r="J44" i="41"/>
  <c r="I44" i="41"/>
  <c r="H44" i="41"/>
  <c r="K44" i="41" s="1"/>
  <c r="M43" i="41"/>
  <c r="L43" i="41"/>
  <c r="J43" i="41"/>
  <c r="I43" i="41"/>
  <c r="H43" i="41"/>
  <c r="K43" i="41" s="1"/>
  <c r="M42" i="41"/>
  <c r="L42" i="41"/>
  <c r="J42" i="41"/>
  <c r="I42" i="41"/>
  <c r="H42" i="41"/>
  <c r="K42" i="41" s="1"/>
  <c r="M41" i="41"/>
  <c r="L41" i="41"/>
  <c r="J41" i="41"/>
  <c r="I41" i="41"/>
  <c r="H41" i="41"/>
  <c r="K41" i="41" s="1"/>
  <c r="M40" i="41"/>
  <c r="L40" i="41"/>
  <c r="J40" i="41"/>
  <c r="I40" i="41"/>
  <c r="H40" i="41"/>
  <c r="K40" i="41" s="1"/>
  <c r="M39" i="41"/>
  <c r="L39" i="41"/>
  <c r="J39" i="41"/>
  <c r="I39" i="41"/>
  <c r="H39" i="41"/>
  <c r="K39" i="41" s="1"/>
  <c r="M38" i="41"/>
  <c r="L38" i="41"/>
  <c r="J38" i="41"/>
  <c r="I38" i="41"/>
  <c r="H38" i="41"/>
  <c r="K38" i="41" s="1"/>
  <c r="M37" i="41"/>
  <c r="L37" i="41"/>
  <c r="J37" i="41"/>
  <c r="I37" i="41"/>
  <c r="H37" i="41"/>
  <c r="K37" i="41" s="1"/>
  <c r="M36" i="41"/>
  <c r="L36" i="41"/>
  <c r="J36" i="41"/>
  <c r="I36" i="41"/>
  <c r="H36" i="41"/>
  <c r="K36" i="41" s="1"/>
  <c r="M35" i="41"/>
  <c r="L35" i="41"/>
  <c r="J35" i="41"/>
  <c r="I35" i="41"/>
  <c r="H35" i="41"/>
  <c r="K35" i="41" s="1"/>
  <c r="M34" i="41"/>
  <c r="L34" i="41"/>
  <c r="J34" i="41"/>
  <c r="I34" i="41"/>
  <c r="H34" i="41"/>
  <c r="K34" i="41" s="1"/>
  <c r="M33" i="41"/>
  <c r="L33" i="41"/>
  <c r="J33" i="41"/>
  <c r="I33" i="41"/>
  <c r="H33" i="41"/>
  <c r="K33" i="41" s="1"/>
  <c r="M32" i="41"/>
  <c r="L32" i="41"/>
  <c r="J32" i="41"/>
  <c r="I32" i="41"/>
  <c r="H32" i="41"/>
  <c r="K32" i="41" s="1"/>
  <c r="M31" i="41"/>
  <c r="L31" i="41"/>
  <c r="J31" i="41"/>
  <c r="I31" i="41"/>
  <c r="H31" i="41"/>
  <c r="K31" i="41" s="1"/>
  <c r="M30" i="41"/>
  <c r="L30" i="41"/>
  <c r="J30" i="41"/>
  <c r="I30" i="41"/>
  <c r="H30" i="41"/>
  <c r="K30" i="41" s="1"/>
  <c r="M29" i="41"/>
  <c r="L29" i="41"/>
  <c r="J29" i="41"/>
  <c r="I29" i="41"/>
  <c r="H29" i="41"/>
  <c r="K29" i="41" s="1"/>
  <c r="M28" i="41"/>
  <c r="L28" i="41"/>
  <c r="J28" i="41"/>
  <c r="I28" i="41"/>
  <c r="H28" i="41"/>
  <c r="K28" i="41" s="1"/>
  <c r="M27" i="41"/>
  <c r="L27" i="41"/>
  <c r="J27" i="41"/>
  <c r="I27" i="41"/>
  <c r="H27" i="41"/>
  <c r="K27" i="41" s="1"/>
  <c r="M26" i="41"/>
  <c r="L26" i="41"/>
  <c r="J26" i="41"/>
  <c r="I26" i="41"/>
  <c r="H26" i="41"/>
  <c r="K26" i="41" s="1"/>
  <c r="M25" i="41"/>
  <c r="L25" i="41"/>
  <c r="J25" i="41"/>
  <c r="I25" i="41"/>
  <c r="H25" i="41"/>
  <c r="K25" i="41" s="1"/>
  <c r="M24" i="41"/>
  <c r="L24" i="41"/>
  <c r="J24" i="41"/>
  <c r="I24" i="41"/>
  <c r="H24" i="41"/>
  <c r="K24" i="41" s="1"/>
  <c r="M23" i="41"/>
  <c r="L23" i="41"/>
  <c r="J23" i="41"/>
  <c r="I23" i="41"/>
  <c r="H23" i="41"/>
  <c r="K23" i="41" s="1"/>
  <c r="M22" i="41"/>
  <c r="L22" i="41"/>
  <c r="J22" i="41"/>
  <c r="I22" i="41"/>
  <c r="H22" i="41"/>
  <c r="K22" i="41" s="1"/>
  <c r="M21" i="41"/>
  <c r="L21" i="41"/>
  <c r="J21" i="41"/>
  <c r="I21" i="41"/>
  <c r="H21" i="41"/>
  <c r="K21" i="41" s="1"/>
  <c r="M20" i="41"/>
  <c r="L20" i="41"/>
  <c r="J20" i="41"/>
  <c r="I20" i="41"/>
  <c r="H20" i="41"/>
  <c r="K20" i="41" s="1"/>
  <c r="M19" i="41"/>
  <c r="L19" i="41"/>
  <c r="J19" i="41"/>
  <c r="I19" i="41"/>
  <c r="H19" i="41"/>
  <c r="K19" i="41" s="1"/>
  <c r="M18" i="41"/>
  <c r="L18" i="41"/>
  <c r="J18" i="41"/>
  <c r="I18" i="41"/>
  <c r="H18" i="41"/>
  <c r="K18" i="41" s="1"/>
  <c r="M17" i="41"/>
  <c r="L17" i="41"/>
  <c r="J17" i="41"/>
  <c r="I17" i="41"/>
  <c r="H17" i="41"/>
  <c r="K17" i="41" s="1"/>
  <c r="M16" i="41"/>
  <c r="L16" i="41"/>
  <c r="J16" i="41"/>
  <c r="I16" i="41"/>
  <c r="H16" i="41"/>
  <c r="K16" i="41" s="1"/>
  <c r="M15" i="41"/>
  <c r="L15" i="41"/>
  <c r="J15" i="41"/>
  <c r="I15" i="41"/>
  <c r="H15" i="41"/>
  <c r="K15" i="41" s="1"/>
  <c r="M14" i="41"/>
  <c r="L14" i="41"/>
  <c r="J14" i="41"/>
  <c r="I14" i="41"/>
  <c r="H14" i="41"/>
  <c r="K14" i="41" s="1"/>
  <c r="M13" i="41"/>
  <c r="L13" i="41"/>
  <c r="J13" i="41"/>
  <c r="I13" i="41"/>
  <c r="H13" i="41"/>
  <c r="K13" i="41" s="1"/>
  <c r="M12" i="41"/>
  <c r="L12" i="41"/>
  <c r="J12" i="41"/>
  <c r="I12" i="41"/>
  <c r="H12" i="41"/>
  <c r="K12" i="41" s="1"/>
  <c r="M11" i="41"/>
  <c r="L11" i="41"/>
  <c r="J11" i="41"/>
  <c r="I11" i="41"/>
  <c r="H11" i="41"/>
  <c r="K11" i="41" s="1"/>
  <c r="M10" i="41"/>
  <c r="L10" i="41"/>
  <c r="J10" i="41"/>
  <c r="I10" i="41"/>
  <c r="H10" i="41"/>
  <c r="K10" i="41" s="1"/>
  <c r="M9" i="41"/>
  <c r="L9" i="41"/>
  <c r="J9" i="41"/>
  <c r="I9" i="41"/>
  <c r="H9" i="41"/>
  <c r="K9" i="41" s="1"/>
  <c r="M8" i="41"/>
  <c r="L8" i="41"/>
  <c r="J8" i="41"/>
  <c r="I8" i="41"/>
  <c r="H8" i="41"/>
  <c r="K8" i="41" s="1"/>
  <c r="M7" i="41"/>
  <c r="L7" i="41"/>
  <c r="J7" i="41"/>
  <c r="I7" i="41"/>
  <c r="H7" i="41"/>
  <c r="K7" i="41" s="1"/>
  <c r="M6" i="41"/>
  <c r="L6" i="41"/>
  <c r="J6" i="41"/>
  <c r="I6" i="41"/>
  <c r="H6" i="41"/>
  <c r="K6" i="41" s="1"/>
  <c r="M5" i="41"/>
  <c r="L5" i="41"/>
  <c r="J5" i="41"/>
  <c r="I5" i="41"/>
  <c r="H5" i="41"/>
  <c r="K5" i="41" s="1"/>
  <c r="H92" i="40"/>
  <c r="K92" i="40" s="1"/>
  <c r="I92" i="40"/>
  <c r="J92" i="40"/>
  <c r="L92" i="40"/>
  <c r="M92" i="40"/>
  <c r="C158" i="40"/>
  <c r="D150" i="40"/>
  <c r="D152" i="40" s="1"/>
  <c r="M91" i="40"/>
  <c r="L91" i="40"/>
  <c r="J91" i="40"/>
  <c r="I91" i="40"/>
  <c r="H91" i="40"/>
  <c r="K91" i="40" s="1"/>
  <c r="M90" i="40"/>
  <c r="L90" i="40"/>
  <c r="J90" i="40"/>
  <c r="I90" i="40"/>
  <c r="H90" i="40"/>
  <c r="K90" i="40" s="1"/>
  <c r="M89" i="40"/>
  <c r="L89" i="40"/>
  <c r="J89" i="40"/>
  <c r="I89" i="40"/>
  <c r="H89" i="40"/>
  <c r="M88" i="40"/>
  <c r="L88" i="40"/>
  <c r="J88" i="40"/>
  <c r="I88" i="40"/>
  <c r="H88" i="40"/>
  <c r="J87" i="40"/>
  <c r="I87" i="40"/>
  <c r="H87" i="40"/>
  <c r="J86" i="40"/>
  <c r="I86" i="40"/>
  <c r="H86" i="40"/>
  <c r="J85" i="40"/>
  <c r="I85" i="40"/>
  <c r="H85" i="40"/>
  <c r="J84" i="40"/>
  <c r="I84" i="40"/>
  <c r="H84" i="40"/>
  <c r="J83" i="40"/>
  <c r="I83" i="40"/>
  <c r="H83" i="40"/>
  <c r="J82" i="40"/>
  <c r="I82" i="40"/>
  <c r="H82" i="40"/>
  <c r="J81" i="40"/>
  <c r="I81" i="40"/>
  <c r="H81" i="40"/>
  <c r="J80" i="40"/>
  <c r="I80" i="40"/>
  <c r="H80" i="40"/>
  <c r="M79" i="40"/>
  <c r="L79" i="40"/>
  <c r="J79" i="40"/>
  <c r="I79" i="40"/>
  <c r="H79" i="40"/>
  <c r="K79" i="40" s="1"/>
  <c r="M78" i="40"/>
  <c r="L78" i="40"/>
  <c r="J78" i="40"/>
  <c r="I78" i="40"/>
  <c r="H78" i="40"/>
  <c r="K78" i="40" s="1"/>
  <c r="J77" i="40"/>
  <c r="I77" i="40"/>
  <c r="H77" i="40"/>
  <c r="M76" i="40"/>
  <c r="L76" i="40"/>
  <c r="J76" i="40"/>
  <c r="I76" i="40"/>
  <c r="H76" i="40"/>
  <c r="K76" i="40" s="1"/>
  <c r="M75" i="40"/>
  <c r="L75" i="40"/>
  <c r="J75" i="40"/>
  <c r="I75" i="40"/>
  <c r="H75" i="40"/>
  <c r="K75" i="40" s="1"/>
  <c r="M74" i="40"/>
  <c r="L74" i="40"/>
  <c r="J74" i="40"/>
  <c r="I74" i="40"/>
  <c r="H74" i="40"/>
  <c r="K74" i="40" s="1"/>
  <c r="M73" i="40"/>
  <c r="L73" i="40"/>
  <c r="J73" i="40"/>
  <c r="I73" i="40"/>
  <c r="H73" i="40"/>
  <c r="K73" i="40" s="1"/>
  <c r="M72" i="40"/>
  <c r="L72" i="40"/>
  <c r="J72" i="40"/>
  <c r="I72" i="40"/>
  <c r="H72" i="40"/>
  <c r="K72" i="40" s="1"/>
  <c r="M71" i="40"/>
  <c r="L71" i="40"/>
  <c r="J71" i="40"/>
  <c r="I71" i="40"/>
  <c r="H71" i="40"/>
  <c r="K71" i="40" s="1"/>
  <c r="M70" i="40"/>
  <c r="L70" i="40"/>
  <c r="J70" i="40"/>
  <c r="I70" i="40"/>
  <c r="H70" i="40"/>
  <c r="K70" i="40" s="1"/>
  <c r="M69" i="40"/>
  <c r="L69" i="40"/>
  <c r="J69" i="40"/>
  <c r="I69" i="40"/>
  <c r="H69" i="40"/>
  <c r="K69" i="40" s="1"/>
  <c r="M68" i="40"/>
  <c r="L68" i="40"/>
  <c r="J68" i="40"/>
  <c r="I68" i="40"/>
  <c r="H68" i="40"/>
  <c r="K68" i="40" s="1"/>
  <c r="M67" i="40"/>
  <c r="L67" i="40"/>
  <c r="J67" i="40"/>
  <c r="I67" i="40"/>
  <c r="H67" i="40"/>
  <c r="K67" i="40" s="1"/>
  <c r="M66" i="40"/>
  <c r="L66" i="40"/>
  <c r="J66" i="40"/>
  <c r="I66" i="40"/>
  <c r="H66" i="40"/>
  <c r="K66" i="40" s="1"/>
  <c r="M65" i="40"/>
  <c r="L65" i="40"/>
  <c r="J65" i="40"/>
  <c r="I65" i="40"/>
  <c r="H65" i="40"/>
  <c r="K65" i="40" s="1"/>
  <c r="M64" i="40"/>
  <c r="L64" i="40"/>
  <c r="J64" i="40"/>
  <c r="I64" i="40"/>
  <c r="H64" i="40"/>
  <c r="K64" i="40" s="1"/>
  <c r="M63" i="40"/>
  <c r="L63" i="40"/>
  <c r="J63" i="40"/>
  <c r="I63" i="40"/>
  <c r="H63" i="40"/>
  <c r="K63" i="40" s="1"/>
  <c r="M62" i="40"/>
  <c r="L62" i="40"/>
  <c r="J62" i="40"/>
  <c r="I62" i="40"/>
  <c r="H62" i="40"/>
  <c r="K62" i="40" s="1"/>
  <c r="M61" i="40"/>
  <c r="L61" i="40"/>
  <c r="J61" i="40"/>
  <c r="I61" i="40"/>
  <c r="H61" i="40"/>
  <c r="K61" i="40" s="1"/>
  <c r="M60" i="40"/>
  <c r="L60" i="40"/>
  <c r="J60" i="40"/>
  <c r="I60" i="40"/>
  <c r="H60" i="40"/>
  <c r="K60" i="40" s="1"/>
  <c r="M59" i="40"/>
  <c r="L59" i="40"/>
  <c r="J59" i="40"/>
  <c r="I59" i="40"/>
  <c r="H59" i="40"/>
  <c r="K59" i="40" s="1"/>
  <c r="M58" i="40"/>
  <c r="L58" i="40"/>
  <c r="J58" i="40"/>
  <c r="I58" i="40"/>
  <c r="H58" i="40"/>
  <c r="K58" i="40" s="1"/>
  <c r="M57" i="40"/>
  <c r="L57" i="40"/>
  <c r="J57" i="40"/>
  <c r="I57" i="40"/>
  <c r="H57" i="40"/>
  <c r="K57" i="40" s="1"/>
  <c r="M56" i="40"/>
  <c r="L56" i="40"/>
  <c r="J56" i="40"/>
  <c r="I56" i="40"/>
  <c r="H56" i="40"/>
  <c r="K56" i="40" s="1"/>
  <c r="M55" i="40"/>
  <c r="L55" i="40"/>
  <c r="J55" i="40"/>
  <c r="I55" i="40"/>
  <c r="H55" i="40"/>
  <c r="K55" i="40" s="1"/>
  <c r="M54" i="40"/>
  <c r="L54" i="40"/>
  <c r="J54" i="40"/>
  <c r="I54" i="40"/>
  <c r="H54" i="40"/>
  <c r="K54" i="40" s="1"/>
  <c r="M53" i="40"/>
  <c r="L53" i="40"/>
  <c r="J53" i="40"/>
  <c r="I53" i="40"/>
  <c r="H53" i="40"/>
  <c r="K53" i="40" s="1"/>
  <c r="M52" i="40"/>
  <c r="L52" i="40"/>
  <c r="J52" i="40"/>
  <c r="I52" i="40"/>
  <c r="H52" i="40"/>
  <c r="K52" i="40" s="1"/>
  <c r="M51" i="40"/>
  <c r="L51" i="40"/>
  <c r="J51" i="40"/>
  <c r="I51" i="40"/>
  <c r="H51" i="40"/>
  <c r="K51" i="40" s="1"/>
  <c r="M50" i="40"/>
  <c r="L50" i="40"/>
  <c r="J50" i="40"/>
  <c r="I50" i="40"/>
  <c r="H50" i="40"/>
  <c r="K50" i="40" s="1"/>
  <c r="M49" i="40"/>
  <c r="L49" i="40"/>
  <c r="J49" i="40"/>
  <c r="I49" i="40"/>
  <c r="H49" i="40"/>
  <c r="K49" i="40" s="1"/>
  <c r="M48" i="40"/>
  <c r="L48" i="40"/>
  <c r="J48" i="40"/>
  <c r="I48" i="40"/>
  <c r="H48" i="40"/>
  <c r="K48" i="40" s="1"/>
  <c r="M47" i="40"/>
  <c r="L47" i="40"/>
  <c r="J47" i="40"/>
  <c r="I47" i="40"/>
  <c r="H47" i="40"/>
  <c r="K47" i="40" s="1"/>
  <c r="M46" i="40"/>
  <c r="L46" i="40"/>
  <c r="J46" i="40"/>
  <c r="I46" i="40"/>
  <c r="H46" i="40"/>
  <c r="K46" i="40" s="1"/>
  <c r="M45" i="40"/>
  <c r="L45" i="40"/>
  <c r="J45" i="40"/>
  <c r="I45" i="40"/>
  <c r="H45" i="40"/>
  <c r="K45" i="40" s="1"/>
  <c r="M44" i="40"/>
  <c r="L44" i="40"/>
  <c r="J44" i="40"/>
  <c r="I44" i="40"/>
  <c r="H44" i="40"/>
  <c r="K44" i="40" s="1"/>
  <c r="M43" i="40"/>
  <c r="L43" i="40"/>
  <c r="J43" i="40"/>
  <c r="I43" i="40"/>
  <c r="H43" i="40"/>
  <c r="K43" i="40" s="1"/>
  <c r="M42" i="40"/>
  <c r="L42" i="40"/>
  <c r="J42" i="40"/>
  <c r="I42" i="40"/>
  <c r="H42" i="40"/>
  <c r="K42" i="40" s="1"/>
  <c r="M41" i="40"/>
  <c r="L41" i="40"/>
  <c r="J41" i="40"/>
  <c r="I41" i="40"/>
  <c r="H41" i="40"/>
  <c r="K41" i="40" s="1"/>
  <c r="M40" i="40"/>
  <c r="L40" i="40"/>
  <c r="J40" i="40"/>
  <c r="I40" i="40"/>
  <c r="H40" i="40"/>
  <c r="K40" i="40" s="1"/>
  <c r="M39" i="40"/>
  <c r="L39" i="40"/>
  <c r="J39" i="40"/>
  <c r="I39" i="40"/>
  <c r="H39" i="40"/>
  <c r="K39" i="40" s="1"/>
  <c r="M38" i="40"/>
  <c r="L38" i="40"/>
  <c r="J38" i="40"/>
  <c r="I38" i="40"/>
  <c r="H38" i="40"/>
  <c r="K38" i="40" s="1"/>
  <c r="M37" i="40"/>
  <c r="L37" i="40"/>
  <c r="J37" i="40"/>
  <c r="I37" i="40"/>
  <c r="H37" i="40"/>
  <c r="K37" i="40" s="1"/>
  <c r="M36" i="40"/>
  <c r="L36" i="40"/>
  <c r="J36" i="40"/>
  <c r="I36" i="40"/>
  <c r="H36" i="40"/>
  <c r="K36" i="40" s="1"/>
  <c r="M35" i="40"/>
  <c r="L35" i="40"/>
  <c r="J35" i="40"/>
  <c r="I35" i="40"/>
  <c r="H35" i="40"/>
  <c r="K35" i="40" s="1"/>
  <c r="M34" i="40"/>
  <c r="L34" i="40"/>
  <c r="J34" i="40"/>
  <c r="I34" i="40"/>
  <c r="H34" i="40"/>
  <c r="K34" i="40" s="1"/>
  <c r="M33" i="40"/>
  <c r="L33" i="40"/>
  <c r="J33" i="40"/>
  <c r="I33" i="40"/>
  <c r="H33" i="40"/>
  <c r="K33" i="40" s="1"/>
  <c r="M32" i="40"/>
  <c r="L32" i="40"/>
  <c r="J32" i="40"/>
  <c r="I32" i="40"/>
  <c r="H32" i="40"/>
  <c r="K32" i="40" s="1"/>
  <c r="M31" i="40"/>
  <c r="L31" i="40"/>
  <c r="J31" i="40"/>
  <c r="I31" i="40"/>
  <c r="H31" i="40"/>
  <c r="K31" i="40" s="1"/>
  <c r="M30" i="40"/>
  <c r="L30" i="40"/>
  <c r="J30" i="40"/>
  <c r="I30" i="40"/>
  <c r="H30" i="40"/>
  <c r="K30" i="40" s="1"/>
  <c r="M29" i="40"/>
  <c r="L29" i="40"/>
  <c r="J29" i="40"/>
  <c r="I29" i="40"/>
  <c r="H29" i="40"/>
  <c r="K29" i="40" s="1"/>
  <c r="M28" i="40"/>
  <c r="L28" i="40"/>
  <c r="J28" i="40"/>
  <c r="I28" i="40"/>
  <c r="H28" i="40"/>
  <c r="K28" i="40" s="1"/>
  <c r="M27" i="40"/>
  <c r="L27" i="40"/>
  <c r="J27" i="40"/>
  <c r="I27" i="40"/>
  <c r="H27" i="40"/>
  <c r="K27" i="40" s="1"/>
  <c r="M26" i="40"/>
  <c r="L26" i="40"/>
  <c r="J26" i="40"/>
  <c r="I26" i="40"/>
  <c r="H26" i="40"/>
  <c r="K26" i="40" s="1"/>
  <c r="M25" i="40"/>
  <c r="L25" i="40"/>
  <c r="J25" i="40"/>
  <c r="I25" i="40"/>
  <c r="H25" i="40"/>
  <c r="K25" i="40" s="1"/>
  <c r="M24" i="40"/>
  <c r="L24" i="40"/>
  <c r="J24" i="40"/>
  <c r="I24" i="40"/>
  <c r="H24" i="40"/>
  <c r="K24" i="40" s="1"/>
  <c r="M23" i="40"/>
  <c r="L23" i="40"/>
  <c r="J23" i="40"/>
  <c r="I23" i="40"/>
  <c r="H23" i="40"/>
  <c r="K23" i="40" s="1"/>
  <c r="M22" i="40"/>
  <c r="L22" i="40"/>
  <c r="J22" i="40"/>
  <c r="I22" i="40"/>
  <c r="H22" i="40"/>
  <c r="K22" i="40" s="1"/>
  <c r="M21" i="40"/>
  <c r="L21" i="40"/>
  <c r="J21" i="40"/>
  <c r="I21" i="40"/>
  <c r="H21" i="40"/>
  <c r="K21" i="40" s="1"/>
  <c r="M20" i="40"/>
  <c r="L20" i="40"/>
  <c r="J20" i="40"/>
  <c r="I20" i="40"/>
  <c r="H20" i="40"/>
  <c r="K20" i="40" s="1"/>
  <c r="M19" i="40"/>
  <c r="L19" i="40"/>
  <c r="J19" i="40"/>
  <c r="I19" i="40"/>
  <c r="H19" i="40"/>
  <c r="K19" i="40" s="1"/>
  <c r="M18" i="40"/>
  <c r="L18" i="40"/>
  <c r="J18" i="40"/>
  <c r="I18" i="40"/>
  <c r="H18" i="40"/>
  <c r="K18" i="40" s="1"/>
  <c r="M17" i="40"/>
  <c r="L17" i="40"/>
  <c r="J17" i="40"/>
  <c r="I17" i="40"/>
  <c r="H17" i="40"/>
  <c r="K17" i="40" s="1"/>
  <c r="M16" i="40"/>
  <c r="L16" i="40"/>
  <c r="J16" i="40"/>
  <c r="I16" i="40"/>
  <c r="H16" i="40"/>
  <c r="K16" i="40" s="1"/>
  <c r="M15" i="40"/>
  <c r="L15" i="40"/>
  <c r="J15" i="40"/>
  <c r="I15" i="40"/>
  <c r="H15" i="40"/>
  <c r="K15" i="40" s="1"/>
  <c r="M14" i="40"/>
  <c r="L14" i="40"/>
  <c r="J14" i="40"/>
  <c r="I14" i="40"/>
  <c r="H14" i="40"/>
  <c r="K14" i="40" s="1"/>
  <c r="M13" i="40"/>
  <c r="L13" i="40"/>
  <c r="J13" i="40"/>
  <c r="I13" i="40"/>
  <c r="H13" i="40"/>
  <c r="K13" i="40" s="1"/>
  <c r="M12" i="40"/>
  <c r="L12" i="40"/>
  <c r="J12" i="40"/>
  <c r="I12" i="40"/>
  <c r="H12" i="40"/>
  <c r="K12" i="40" s="1"/>
  <c r="M11" i="40"/>
  <c r="L11" i="40"/>
  <c r="J11" i="40"/>
  <c r="I11" i="40"/>
  <c r="H11" i="40"/>
  <c r="K11" i="40" s="1"/>
  <c r="M10" i="40"/>
  <c r="L10" i="40"/>
  <c r="J10" i="40"/>
  <c r="I10" i="40"/>
  <c r="H10" i="40"/>
  <c r="K10" i="40" s="1"/>
  <c r="M9" i="40"/>
  <c r="L9" i="40"/>
  <c r="J9" i="40"/>
  <c r="I9" i="40"/>
  <c r="H9" i="40"/>
  <c r="K9" i="40" s="1"/>
  <c r="M8" i="40"/>
  <c r="L8" i="40"/>
  <c r="J8" i="40"/>
  <c r="I8" i="40"/>
  <c r="H8" i="40"/>
  <c r="K8" i="40" s="1"/>
  <c r="M7" i="40"/>
  <c r="L7" i="40"/>
  <c r="J7" i="40"/>
  <c r="I7" i="40"/>
  <c r="H7" i="40"/>
  <c r="K7" i="40" s="1"/>
  <c r="M6" i="40"/>
  <c r="L6" i="40"/>
  <c r="J6" i="40"/>
  <c r="I6" i="40"/>
  <c r="H6" i="40"/>
  <c r="K6" i="40" s="1"/>
  <c r="M5" i="40"/>
  <c r="L5" i="40"/>
  <c r="J5" i="40"/>
  <c r="I5" i="40"/>
  <c r="H5" i="40"/>
  <c r="K5" i="40" s="1"/>
  <c r="L93" i="41" l="1"/>
  <c r="I93" i="41"/>
  <c r="G98" i="41"/>
  <c r="K93" i="41"/>
  <c r="M93" i="41"/>
  <c r="J93" i="41"/>
  <c r="I93" i="40"/>
  <c r="J93" i="40"/>
  <c r="L93" i="40"/>
  <c r="G98" i="40"/>
  <c r="G101" i="40" s="1"/>
  <c r="M93" i="40"/>
  <c r="K93" i="40"/>
  <c r="C155" i="39"/>
  <c r="H30" i="39" l="1"/>
  <c r="K30" i="39" s="1"/>
  <c r="I30" i="39"/>
  <c r="J30" i="39"/>
  <c r="M30" i="39"/>
  <c r="D147" i="39"/>
  <c r="D149" i="39" s="1"/>
  <c r="M91" i="39"/>
  <c r="L91" i="39"/>
  <c r="J91" i="39"/>
  <c r="I91" i="39"/>
  <c r="H91" i="39"/>
  <c r="K91" i="39" s="1"/>
  <c r="M90" i="39"/>
  <c r="L90" i="39"/>
  <c r="J90" i="39"/>
  <c r="I90" i="39"/>
  <c r="H90" i="39"/>
  <c r="K90" i="39" s="1"/>
  <c r="M89" i="39"/>
  <c r="L89" i="39"/>
  <c r="J89" i="39"/>
  <c r="I89" i="39"/>
  <c r="H89" i="39"/>
  <c r="M88" i="39"/>
  <c r="L88" i="39"/>
  <c r="J88" i="39"/>
  <c r="I88" i="39"/>
  <c r="H88" i="39"/>
  <c r="J87" i="39"/>
  <c r="I87" i="39"/>
  <c r="H87" i="39"/>
  <c r="J86" i="39"/>
  <c r="I86" i="39"/>
  <c r="H86" i="39"/>
  <c r="J85" i="39"/>
  <c r="I85" i="39"/>
  <c r="H85" i="39"/>
  <c r="J84" i="39"/>
  <c r="I84" i="39"/>
  <c r="H84" i="39"/>
  <c r="J83" i="39"/>
  <c r="I83" i="39"/>
  <c r="H83" i="39"/>
  <c r="J82" i="39"/>
  <c r="I82" i="39"/>
  <c r="H82" i="39"/>
  <c r="J81" i="39"/>
  <c r="I81" i="39"/>
  <c r="H81" i="39"/>
  <c r="J80" i="39"/>
  <c r="I80" i="39"/>
  <c r="H80" i="39"/>
  <c r="M79" i="39"/>
  <c r="L79" i="39"/>
  <c r="J79" i="39"/>
  <c r="I79" i="39"/>
  <c r="H79" i="39"/>
  <c r="K79" i="39" s="1"/>
  <c r="M78" i="39"/>
  <c r="L78" i="39"/>
  <c r="J78" i="39"/>
  <c r="I78" i="39"/>
  <c r="H78" i="39"/>
  <c r="K78" i="39" s="1"/>
  <c r="J77" i="39"/>
  <c r="I77" i="39"/>
  <c r="H77" i="39"/>
  <c r="M76" i="39"/>
  <c r="L76" i="39"/>
  <c r="J76" i="39"/>
  <c r="I76" i="39"/>
  <c r="H76" i="39"/>
  <c r="K76" i="39" s="1"/>
  <c r="M75" i="39"/>
  <c r="L75" i="39"/>
  <c r="J75" i="39"/>
  <c r="I75" i="39"/>
  <c r="H75" i="39"/>
  <c r="K75" i="39" s="1"/>
  <c r="M74" i="39"/>
  <c r="L74" i="39"/>
  <c r="J74" i="39"/>
  <c r="I74" i="39"/>
  <c r="H74" i="39"/>
  <c r="K74" i="39" s="1"/>
  <c r="M73" i="39"/>
  <c r="L73" i="39"/>
  <c r="J73" i="39"/>
  <c r="I73" i="39"/>
  <c r="H73" i="39"/>
  <c r="K73" i="39" s="1"/>
  <c r="M72" i="39"/>
  <c r="L72" i="39"/>
  <c r="J72" i="39"/>
  <c r="I72" i="39"/>
  <c r="H72" i="39"/>
  <c r="K72" i="39" s="1"/>
  <c r="M71" i="39"/>
  <c r="L71" i="39"/>
  <c r="J71" i="39"/>
  <c r="I71" i="39"/>
  <c r="H71" i="39"/>
  <c r="K71" i="39" s="1"/>
  <c r="M70" i="39"/>
  <c r="L70" i="39"/>
  <c r="J70" i="39"/>
  <c r="I70" i="39"/>
  <c r="H70" i="39"/>
  <c r="K70" i="39" s="1"/>
  <c r="M69" i="39"/>
  <c r="L69" i="39"/>
  <c r="J69" i="39"/>
  <c r="I69" i="39"/>
  <c r="H69" i="39"/>
  <c r="K69" i="39" s="1"/>
  <c r="M68" i="39"/>
  <c r="L68" i="39"/>
  <c r="J68" i="39"/>
  <c r="I68" i="39"/>
  <c r="H68" i="39"/>
  <c r="K68" i="39" s="1"/>
  <c r="M67" i="39"/>
  <c r="L67" i="39"/>
  <c r="J67" i="39"/>
  <c r="I67" i="39"/>
  <c r="H67" i="39"/>
  <c r="K67" i="39" s="1"/>
  <c r="M66" i="39"/>
  <c r="L66" i="39"/>
  <c r="J66" i="39"/>
  <c r="I66" i="39"/>
  <c r="H66" i="39"/>
  <c r="K66" i="39" s="1"/>
  <c r="M65" i="39"/>
  <c r="L65" i="39"/>
  <c r="J65" i="39"/>
  <c r="I65" i="39"/>
  <c r="H65" i="39"/>
  <c r="K65" i="39" s="1"/>
  <c r="M64" i="39"/>
  <c r="L64" i="39"/>
  <c r="J64" i="39"/>
  <c r="I64" i="39"/>
  <c r="H64" i="39"/>
  <c r="K64" i="39" s="1"/>
  <c r="M63" i="39"/>
  <c r="L63" i="39"/>
  <c r="J63" i="39"/>
  <c r="I63" i="39"/>
  <c r="H63" i="39"/>
  <c r="K63" i="39" s="1"/>
  <c r="M62" i="39"/>
  <c r="L62" i="39"/>
  <c r="J62" i="39"/>
  <c r="I62" i="39"/>
  <c r="H62" i="39"/>
  <c r="K62" i="39" s="1"/>
  <c r="M61" i="39"/>
  <c r="L61" i="39"/>
  <c r="J61" i="39"/>
  <c r="I61" i="39"/>
  <c r="H61" i="39"/>
  <c r="K61" i="39" s="1"/>
  <c r="M60" i="39"/>
  <c r="L60" i="39"/>
  <c r="J60" i="39"/>
  <c r="I60" i="39"/>
  <c r="H60" i="39"/>
  <c r="K60" i="39" s="1"/>
  <c r="M59" i="39"/>
  <c r="L59" i="39"/>
  <c r="J59" i="39"/>
  <c r="I59" i="39"/>
  <c r="H59" i="39"/>
  <c r="K59" i="39" s="1"/>
  <c r="M58" i="39"/>
  <c r="L58" i="39"/>
  <c r="J58" i="39"/>
  <c r="I58" i="39"/>
  <c r="H58" i="39"/>
  <c r="K58" i="39" s="1"/>
  <c r="M57" i="39"/>
  <c r="L57" i="39"/>
  <c r="J57" i="39"/>
  <c r="I57" i="39"/>
  <c r="H57" i="39"/>
  <c r="K57" i="39" s="1"/>
  <c r="M56" i="39"/>
  <c r="L56" i="39"/>
  <c r="J56" i="39"/>
  <c r="I56" i="39"/>
  <c r="H56" i="39"/>
  <c r="K56" i="39" s="1"/>
  <c r="M55" i="39"/>
  <c r="L55" i="39"/>
  <c r="J55" i="39"/>
  <c r="I55" i="39"/>
  <c r="H55" i="39"/>
  <c r="K55" i="39" s="1"/>
  <c r="M54" i="39"/>
  <c r="L54" i="39"/>
  <c r="J54" i="39"/>
  <c r="I54" i="39"/>
  <c r="H54" i="39"/>
  <c r="K54" i="39" s="1"/>
  <c r="M53" i="39"/>
  <c r="L53" i="39"/>
  <c r="J53" i="39"/>
  <c r="I53" i="39"/>
  <c r="H53" i="39"/>
  <c r="K53" i="39" s="1"/>
  <c r="M52" i="39"/>
  <c r="L52" i="39"/>
  <c r="J52" i="39"/>
  <c r="I52" i="39"/>
  <c r="H52" i="39"/>
  <c r="K52" i="39" s="1"/>
  <c r="M51" i="39"/>
  <c r="L51" i="39"/>
  <c r="J51" i="39"/>
  <c r="I51" i="39"/>
  <c r="H51" i="39"/>
  <c r="K51" i="39" s="1"/>
  <c r="M50" i="39"/>
  <c r="L50" i="39"/>
  <c r="J50" i="39"/>
  <c r="I50" i="39"/>
  <c r="H50" i="39"/>
  <c r="K50" i="39" s="1"/>
  <c r="M49" i="39"/>
  <c r="L49" i="39"/>
  <c r="J49" i="39"/>
  <c r="I49" i="39"/>
  <c r="H49" i="39"/>
  <c r="K49" i="39" s="1"/>
  <c r="M48" i="39"/>
  <c r="L48" i="39"/>
  <c r="J48" i="39"/>
  <c r="I48" i="39"/>
  <c r="H48" i="39"/>
  <c r="K48" i="39" s="1"/>
  <c r="M47" i="39"/>
  <c r="L47" i="39"/>
  <c r="J47" i="39"/>
  <c r="I47" i="39"/>
  <c r="H47" i="39"/>
  <c r="K47" i="39" s="1"/>
  <c r="M46" i="39"/>
  <c r="L46" i="39"/>
  <c r="J46" i="39"/>
  <c r="I46" i="39"/>
  <c r="H46" i="39"/>
  <c r="K46" i="39" s="1"/>
  <c r="M45" i="39"/>
  <c r="L45" i="39"/>
  <c r="J45" i="39"/>
  <c r="I45" i="39"/>
  <c r="H45" i="39"/>
  <c r="K45" i="39" s="1"/>
  <c r="M44" i="39"/>
  <c r="L44" i="39"/>
  <c r="J44" i="39"/>
  <c r="I44" i="39"/>
  <c r="H44" i="39"/>
  <c r="K44" i="39" s="1"/>
  <c r="M43" i="39"/>
  <c r="L43" i="39"/>
  <c r="J43" i="39"/>
  <c r="I43" i="39"/>
  <c r="H43" i="39"/>
  <c r="K43" i="39" s="1"/>
  <c r="M42" i="39"/>
  <c r="L42" i="39"/>
  <c r="J42" i="39"/>
  <c r="I42" i="39"/>
  <c r="H42" i="39"/>
  <c r="K42" i="39" s="1"/>
  <c r="M41" i="39"/>
  <c r="L41" i="39"/>
  <c r="J41" i="39"/>
  <c r="I41" i="39"/>
  <c r="H41" i="39"/>
  <c r="K41" i="39" s="1"/>
  <c r="M40" i="39"/>
  <c r="L40" i="39"/>
  <c r="J40" i="39"/>
  <c r="I40" i="39"/>
  <c r="H40" i="39"/>
  <c r="K40" i="39" s="1"/>
  <c r="M39" i="39"/>
  <c r="L39" i="39"/>
  <c r="J39" i="39"/>
  <c r="I39" i="39"/>
  <c r="H39" i="39"/>
  <c r="K39" i="39" s="1"/>
  <c r="M38" i="39"/>
  <c r="L38" i="39"/>
  <c r="J38" i="39"/>
  <c r="I38" i="39"/>
  <c r="H38" i="39"/>
  <c r="K38" i="39" s="1"/>
  <c r="M37" i="39"/>
  <c r="L37" i="39"/>
  <c r="J37" i="39"/>
  <c r="I37" i="39"/>
  <c r="H37" i="39"/>
  <c r="K37" i="39" s="1"/>
  <c r="M36" i="39"/>
  <c r="L36" i="39"/>
  <c r="J36" i="39"/>
  <c r="I36" i="39"/>
  <c r="H36" i="39"/>
  <c r="K36" i="39" s="1"/>
  <c r="M35" i="39"/>
  <c r="L35" i="39"/>
  <c r="J35" i="39"/>
  <c r="I35" i="39"/>
  <c r="H35" i="39"/>
  <c r="K35" i="39" s="1"/>
  <c r="M34" i="39"/>
  <c r="L34" i="39"/>
  <c r="J34" i="39"/>
  <c r="I34" i="39"/>
  <c r="H34" i="39"/>
  <c r="K34" i="39" s="1"/>
  <c r="M33" i="39"/>
  <c r="L33" i="39"/>
  <c r="J33" i="39"/>
  <c r="I33" i="39"/>
  <c r="H33" i="39"/>
  <c r="K33" i="39" s="1"/>
  <c r="M32" i="39"/>
  <c r="L32" i="39"/>
  <c r="J32" i="39"/>
  <c r="I32" i="39"/>
  <c r="H32" i="39"/>
  <c r="K32" i="39" s="1"/>
  <c r="M31" i="39"/>
  <c r="L31" i="39"/>
  <c r="J31" i="39"/>
  <c r="I31" i="39"/>
  <c r="H31" i="39"/>
  <c r="K31" i="39" s="1"/>
  <c r="M29" i="39"/>
  <c r="L29" i="39"/>
  <c r="J29" i="39"/>
  <c r="I29" i="39"/>
  <c r="H29" i="39"/>
  <c r="K29" i="39" s="1"/>
  <c r="M28" i="39"/>
  <c r="L28" i="39"/>
  <c r="J28" i="39"/>
  <c r="I28" i="39"/>
  <c r="H28" i="39"/>
  <c r="K28" i="39" s="1"/>
  <c r="M27" i="39"/>
  <c r="L27" i="39"/>
  <c r="J27" i="39"/>
  <c r="I27" i="39"/>
  <c r="H27" i="39"/>
  <c r="K27" i="39" s="1"/>
  <c r="M26" i="39"/>
  <c r="L26" i="39"/>
  <c r="J26" i="39"/>
  <c r="I26" i="39"/>
  <c r="H26" i="39"/>
  <c r="K26" i="39" s="1"/>
  <c r="M25" i="39"/>
  <c r="L25" i="39"/>
  <c r="J25" i="39"/>
  <c r="I25" i="39"/>
  <c r="H25" i="39"/>
  <c r="K25" i="39" s="1"/>
  <c r="M24" i="39"/>
  <c r="L24" i="39"/>
  <c r="J24" i="39"/>
  <c r="I24" i="39"/>
  <c r="H24" i="39"/>
  <c r="K24" i="39" s="1"/>
  <c r="M23" i="39"/>
  <c r="L23" i="39"/>
  <c r="J23" i="39"/>
  <c r="I23" i="39"/>
  <c r="H23" i="39"/>
  <c r="K23" i="39" s="1"/>
  <c r="M22" i="39"/>
  <c r="L22" i="39"/>
  <c r="J22" i="39"/>
  <c r="I22" i="39"/>
  <c r="H22" i="39"/>
  <c r="K22" i="39" s="1"/>
  <c r="M21" i="39"/>
  <c r="L21" i="39"/>
  <c r="J21" i="39"/>
  <c r="I21" i="39"/>
  <c r="H21" i="39"/>
  <c r="K21" i="39" s="1"/>
  <c r="M20" i="39"/>
  <c r="L20" i="39"/>
  <c r="J20" i="39"/>
  <c r="I20" i="39"/>
  <c r="H20" i="39"/>
  <c r="K20" i="39" s="1"/>
  <c r="M19" i="39"/>
  <c r="L19" i="39"/>
  <c r="J19" i="39"/>
  <c r="I19" i="39"/>
  <c r="H19" i="39"/>
  <c r="K19" i="39" s="1"/>
  <c r="M18" i="39"/>
  <c r="L18" i="39"/>
  <c r="J18" i="39"/>
  <c r="I18" i="39"/>
  <c r="H18" i="39"/>
  <c r="K18" i="39" s="1"/>
  <c r="M17" i="39"/>
  <c r="L17" i="39"/>
  <c r="J17" i="39"/>
  <c r="I17" i="39"/>
  <c r="H17" i="39"/>
  <c r="K17" i="39" s="1"/>
  <c r="M16" i="39"/>
  <c r="L16" i="39"/>
  <c r="J16" i="39"/>
  <c r="I16" i="39"/>
  <c r="H16" i="39"/>
  <c r="K16" i="39" s="1"/>
  <c r="M15" i="39"/>
  <c r="L15" i="39"/>
  <c r="J15" i="39"/>
  <c r="I15" i="39"/>
  <c r="H15" i="39"/>
  <c r="K15" i="39" s="1"/>
  <c r="M14" i="39"/>
  <c r="L14" i="39"/>
  <c r="J14" i="39"/>
  <c r="I14" i="39"/>
  <c r="H14" i="39"/>
  <c r="K14" i="39" s="1"/>
  <c r="M13" i="39"/>
  <c r="L13" i="39"/>
  <c r="J13" i="39"/>
  <c r="I13" i="39"/>
  <c r="H13" i="39"/>
  <c r="K13" i="39" s="1"/>
  <c r="M12" i="39"/>
  <c r="L12" i="39"/>
  <c r="J12" i="39"/>
  <c r="I12" i="39"/>
  <c r="H12" i="39"/>
  <c r="K12" i="39" s="1"/>
  <c r="M11" i="39"/>
  <c r="L11" i="39"/>
  <c r="J11" i="39"/>
  <c r="I11" i="39"/>
  <c r="H11" i="39"/>
  <c r="K11" i="39" s="1"/>
  <c r="M10" i="39"/>
  <c r="L10" i="39"/>
  <c r="J10" i="39"/>
  <c r="I10" i="39"/>
  <c r="H10" i="39"/>
  <c r="K10" i="39" s="1"/>
  <c r="M9" i="39"/>
  <c r="L9" i="39"/>
  <c r="J9" i="39"/>
  <c r="I9" i="39"/>
  <c r="H9" i="39"/>
  <c r="K9" i="39" s="1"/>
  <c r="M8" i="39"/>
  <c r="L8" i="39"/>
  <c r="J8" i="39"/>
  <c r="I8" i="39"/>
  <c r="H8" i="39"/>
  <c r="K8" i="39" s="1"/>
  <c r="M7" i="39"/>
  <c r="L7" i="39"/>
  <c r="J7" i="39"/>
  <c r="I7" i="39"/>
  <c r="H7" i="39"/>
  <c r="K7" i="39" s="1"/>
  <c r="M6" i="39"/>
  <c r="L6" i="39"/>
  <c r="J6" i="39"/>
  <c r="I6" i="39"/>
  <c r="H6" i="39"/>
  <c r="K6" i="39" s="1"/>
  <c r="M5" i="39"/>
  <c r="L5" i="39"/>
  <c r="J5" i="39"/>
  <c r="I5" i="39"/>
  <c r="H5" i="39"/>
  <c r="K5" i="39" s="1"/>
  <c r="G97" i="39" l="1"/>
  <c r="M92" i="39"/>
  <c r="I92" i="39"/>
  <c r="L30" i="39"/>
  <c r="L92" i="39" s="1"/>
  <c r="K92" i="39"/>
  <c r="J92" i="39"/>
  <c r="H26" i="37"/>
  <c r="K26" i="37" s="1"/>
  <c r="I26" i="37"/>
  <c r="J26" i="37"/>
  <c r="L26" i="37"/>
  <c r="M26" i="37"/>
  <c r="D88" i="37"/>
  <c r="D90" i="37" s="1"/>
  <c r="J59" i="37"/>
  <c r="I59" i="37"/>
  <c r="H59" i="37"/>
  <c r="J58" i="37"/>
  <c r="I58" i="37"/>
  <c r="H58" i="37"/>
  <c r="J57" i="37"/>
  <c r="I57" i="37"/>
  <c r="H57" i="37"/>
  <c r="J56" i="37"/>
  <c r="I56" i="37"/>
  <c r="H56" i="37"/>
  <c r="M55" i="37"/>
  <c r="L55" i="37"/>
  <c r="J55" i="37"/>
  <c r="I55" i="37"/>
  <c r="H55" i="37"/>
  <c r="K55" i="37" s="1"/>
  <c r="M54" i="37"/>
  <c r="L54" i="37"/>
  <c r="J54" i="37"/>
  <c r="I54" i="37"/>
  <c r="H54" i="37"/>
  <c r="K54" i="37" s="1"/>
  <c r="M53" i="37"/>
  <c r="L53" i="37"/>
  <c r="J53" i="37"/>
  <c r="I53" i="37"/>
  <c r="H53" i="37"/>
  <c r="K53" i="37" s="1"/>
  <c r="M52" i="37"/>
  <c r="L52" i="37"/>
  <c r="J52" i="37"/>
  <c r="I52" i="37"/>
  <c r="H52" i="37"/>
  <c r="K52" i="37" s="1"/>
  <c r="M51" i="37"/>
  <c r="L51" i="37"/>
  <c r="J51" i="37"/>
  <c r="I51" i="37"/>
  <c r="H51" i="37"/>
  <c r="K51" i="37" s="1"/>
  <c r="M50" i="37"/>
  <c r="L50" i="37"/>
  <c r="J50" i="37"/>
  <c r="I50" i="37"/>
  <c r="H50" i="37"/>
  <c r="K50" i="37" s="1"/>
  <c r="M49" i="37"/>
  <c r="L49" i="37"/>
  <c r="J49" i="37"/>
  <c r="I49" i="37"/>
  <c r="H49" i="37"/>
  <c r="K49" i="37" s="1"/>
  <c r="M48" i="37"/>
  <c r="L48" i="37"/>
  <c r="J48" i="37"/>
  <c r="I48" i="37"/>
  <c r="H48" i="37"/>
  <c r="K48" i="37" s="1"/>
  <c r="M47" i="37"/>
  <c r="L47" i="37"/>
  <c r="J47" i="37"/>
  <c r="I47" i="37"/>
  <c r="H47" i="37"/>
  <c r="K47" i="37" s="1"/>
  <c r="M46" i="37"/>
  <c r="L46" i="37"/>
  <c r="J46" i="37"/>
  <c r="I46" i="37"/>
  <c r="H46" i="37"/>
  <c r="K46" i="37" s="1"/>
  <c r="M45" i="37"/>
  <c r="L45" i="37"/>
  <c r="J45" i="37"/>
  <c r="I45" i="37"/>
  <c r="H45" i="37"/>
  <c r="K45" i="37" s="1"/>
  <c r="M44" i="37"/>
  <c r="L44" i="37"/>
  <c r="J44" i="37"/>
  <c r="I44" i="37"/>
  <c r="H44" i="37"/>
  <c r="K44" i="37" s="1"/>
  <c r="M43" i="37"/>
  <c r="L43" i="37"/>
  <c r="J43" i="37"/>
  <c r="I43" i="37"/>
  <c r="H43" i="37"/>
  <c r="K43" i="37" s="1"/>
  <c r="M42" i="37"/>
  <c r="L42" i="37"/>
  <c r="J42" i="37"/>
  <c r="I42" i="37"/>
  <c r="H42" i="37"/>
  <c r="K42" i="37" s="1"/>
  <c r="M41" i="37"/>
  <c r="L41" i="37"/>
  <c r="K41" i="37"/>
  <c r="J41" i="37"/>
  <c r="I41" i="37"/>
  <c r="M40" i="37"/>
  <c r="L40" i="37"/>
  <c r="J40" i="37"/>
  <c r="I40" i="37"/>
  <c r="H40" i="37"/>
  <c r="K40" i="37" s="1"/>
  <c r="M39" i="37"/>
  <c r="L39" i="37"/>
  <c r="J39" i="37"/>
  <c r="I39" i="37"/>
  <c r="H39" i="37"/>
  <c r="K39" i="37" s="1"/>
  <c r="M38" i="37"/>
  <c r="L38" i="37"/>
  <c r="J38" i="37"/>
  <c r="I38" i="37"/>
  <c r="H38" i="37"/>
  <c r="K38" i="37" s="1"/>
  <c r="M37" i="37"/>
  <c r="L37" i="37"/>
  <c r="J37" i="37"/>
  <c r="I37" i="37"/>
  <c r="H37" i="37"/>
  <c r="K37" i="37" s="1"/>
  <c r="M36" i="37"/>
  <c r="L36" i="37"/>
  <c r="J36" i="37"/>
  <c r="I36" i="37"/>
  <c r="H36" i="37"/>
  <c r="K36" i="37" s="1"/>
  <c r="M35" i="37"/>
  <c r="L35" i="37"/>
  <c r="J35" i="37"/>
  <c r="I35" i="37"/>
  <c r="H35" i="37"/>
  <c r="K35" i="37" s="1"/>
  <c r="M34" i="37"/>
  <c r="L34" i="37"/>
  <c r="J34" i="37"/>
  <c r="I34" i="37"/>
  <c r="H34" i="37"/>
  <c r="K34" i="37" s="1"/>
  <c r="M33" i="37"/>
  <c r="L33" i="37"/>
  <c r="J33" i="37"/>
  <c r="I33" i="37"/>
  <c r="H33" i="37"/>
  <c r="K33" i="37" s="1"/>
  <c r="M32" i="37"/>
  <c r="L32" i="37"/>
  <c r="J32" i="37"/>
  <c r="I32" i="37"/>
  <c r="H32" i="37"/>
  <c r="K32" i="37" s="1"/>
  <c r="M31" i="37"/>
  <c r="L31" i="37"/>
  <c r="J31" i="37"/>
  <c r="I31" i="37"/>
  <c r="H31" i="37"/>
  <c r="K31" i="37" s="1"/>
  <c r="M30" i="37"/>
  <c r="L30" i="37"/>
  <c r="J30" i="37"/>
  <c r="I30" i="37"/>
  <c r="H30" i="37"/>
  <c r="K30" i="37" s="1"/>
  <c r="M29" i="37"/>
  <c r="L29" i="37"/>
  <c r="J29" i="37"/>
  <c r="I29" i="37"/>
  <c r="H29" i="37"/>
  <c r="K29" i="37" s="1"/>
  <c r="M28" i="37"/>
  <c r="L28" i="37"/>
  <c r="J28" i="37"/>
  <c r="I28" i="37"/>
  <c r="H28" i="37"/>
  <c r="K28" i="37" s="1"/>
  <c r="M27" i="37"/>
  <c r="L27" i="37"/>
  <c r="J27" i="37"/>
  <c r="I27" i="37"/>
  <c r="H27" i="37"/>
  <c r="K27" i="37" s="1"/>
  <c r="M25" i="37"/>
  <c r="L25" i="37"/>
  <c r="J25" i="37"/>
  <c r="I25" i="37"/>
  <c r="H25" i="37"/>
  <c r="K25" i="37" s="1"/>
  <c r="M24" i="37"/>
  <c r="L24" i="37"/>
  <c r="J24" i="37"/>
  <c r="I24" i="37"/>
  <c r="H24" i="37"/>
  <c r="K24" i="37" s="1"/>
  <c r="M23" i="37"/>
  <c r="L23" i="37"/>
  <c r="J23" i="37"/>
  <c r="I23" i="37"/>
  <c r="H23" i="37"/>
  <c r="K23" i="37" s="1"/>
  <c r="M22" i="37"/>
  <c r="L22" i="37"/>
  <c r="J22" i="37"/>
  <c r="I22" i="37"/>
  <c r="H22" i="37"/>
  <c r="K22" i="37" s="1"/>
  <c r="M21" i="37"/>
  <c r="L21" i="37"/>
  <c r="J21" i="37"/>
  <c r="I21" i="37"/>
  <c r="H21" i="37"/>
  <c r="K21" i="37" s="1"/>
  <c r="M20" i="37"/>
  <c r="L20" i="37"/>
  <c r="J20" i="37"/>
  <c r="I20" i="37"/>
  <c r="H20" i="37"/>
  <c r="K20" i="37" s="1"/>
  <c r="M19" i="37"/>
  <c r="L19" i="37"/>
  <c r="J19" i="37"/>
  <c r="I19" i="37"/>
  <c r="H19" i="37"/>
  <c r="K19" i="37" s="1"/>
  <c r="M18" i="37"/>
  <c r="L18" i="37"/>
  <c r="J18" i="37"/>
  <c r="I18" i="37"/>
  <c r="H18" i="37"/>
  <c r="K18" i="37" s="1"/>
  <c r="M17" i="37"/>
  <c r="L17" i="37"/>
  <c r="J17" i="37"/>
  <c r="I17" i="37"/>
  <c r="H17" i="37"/>
  <c r="K17" i="37" s="1"/>
  <c r="M16" i="37"/>
  <c r="L16" i="37"/>
  <c r="J16" i="37"/>
  <c r="I16" i="37"/>
  <c r="H16" i="37"/>
  <c r="K16" i="37" s="1"/>
  <c r="M15" i="37"/>
  <c r="L15" i="37"/>
  <c r="J15" i="37"/>
  <c r="I15" i="37"/>
  <c r="H15" i="37"/>
  <c r="K15" i="37" s="1"/>
  <c r="M14" i="37"/>
  <c r="L14" i="37"/>
  <c r="J14" i="37"/>
  <c r="I14" i="37"/>
  <c r="H14" i="37"/>
  <c r="K14" i="37" s="1"/>
  <c r="M13" i="37"/>
  <c r="L13" i="37"/>
  <c r="J13" i="37"/>
  <c r="I13" i="37"/>
  <c r="H13" i="37"/>
  <c r="K13" i="37" s="1"/>
  <c r="M12" i="37"/>
  <c r="L12" i="37"/>
  <c r="J12" i="37"/>
  <c r="I12" i="37"/>
  <c r="H12" i="37"/>
  <c r="K12" i="37" s="1"/>
  <c r="M11" i="37"/>
  <c r="L11" i="37"/>
  <c r="J11" i="37"/>
  <c r="I11" i="37"/>
  <c r="H11" i="37"/>
  <c r="K11" i="37" s="1"/>
  <c r="M10" i="37"/>
  <c r="L10" i="37"/>
  <c r="J10" i="37"/>
  <c r="I10" i="37"/>
  <c r="H10" i="37"/>
  <c r="K10" i="37" s="1"/>
  <c r="M9" i="37"/>
  <c r="L9" i="37"/>
  <c r="J9" i="37"/>
  <c r="I9" i="37"/>
  <c r="H9" i="37"/>
  <c r="K9" i="37" s="1"/>
  <c r="M8" i="37"/>
  <c r="L8" i="37"/>
  <c r="J8" i="37"/>
  <c r="I8" i="37"/>
  <c r="H8" i="37"/>
  <c r="K8" i="37" s="1"/>
  <c r="M7" i="37"/>
  <c r="L7" i="37"/>
  <c r="J7" i="37"/>
  <c r="I7" i="37"/>
  <c r="H7" i="37"/>
  <c r="K7" i="37" s="1"/>
  <c r="M6" i="37"/>
  <c r="L6" i="37"/>
  <c r="J6" i="37"/>
  <c r="I6" i="37"/>
  <c r="H6" i="37"/>
  <c r="K6" i="37" s="1"/>
  <c r="M5" i="37"/>
  <c r="L5" i="37"/>
  <c r="J5" i="37"/>
  <c r="I5" i="37"/>
  <c r="H5" i="37"/>
  <c r="K5" i="37" s="1"/>
  <c r="H54" i="36"/>
  <c r="K54" i="36" s="1"/>
  <c r="I54" i="36"/>
  <c r="J54" i="36"/>
  <c r="L54" i="36"/>
  <c r="M54" i="36"/>
  <c r="D88" i="36"/>
  <c r="D90" i="36" s="1"/>
  <c r="J58" i="36"/>
  <c r="I58" i="36"/>
  <c r="H58" i="36"/>
  <c r="J57" i="36"/>
  <c r="I57" i="36"/>
  <c r="H57" i="36"/>
  <c r="J56" i="36"/>
  <c r="I56" i="36"/>
  <c r="H56" i="36"/>
  <c r="J55" i="36"/>
  <c r="I55" i="36"/>
  <c r="H55" i="36"/>
  <c r="M53" i="36"/>
  <c r="L53" i="36"/>
  <c r="J53" i="36"/>
  <c r="I53" i="36"/>
  <c r="H53" i="36"/>
  <c r="K53" i="36" s="1"/>
  <c r="M52" i="36"/>
  <c r="L52" i="36"/>
  <c r="J52" i="36"/>
  <c r="I52" i="36"/>
  <c r="H52" i="36"/>
  <c r="K52" i="36" s="1"/>
  <c r="M51" i="36"/>
  <c r="L51" i="36"/>
  <c r="J51" i="36"/>
  <c r="I51" i="36"/>
  <c r="H51" i="36"/>
  <c r="K51" i="36" s="1"/>
  <c r="M50" i="36"/>
  <c r="L50" i="36"/>
  <c r="J50" i="36"/>
  <c r="I50" i="36"/>
  <c r="H50" i="36"/>
  <c r="K50" i="36" s="1"/>
  <c r="M49" i="36"/>
  <c r="L49" i="36"/>
  <c r="J49" i="36"/>
  <c r="I49" i="36"/>
  <c r="H49" i="36"/>
  <c r="K49" i="36" s="1"/>
  <c r="M48" i="36"/>
  <c r="L48" i="36"/>
  <c r="J48" i="36"/>
  <c r="I48" i="36"/>
  <c r="H48" i="36"/>
  <c r="K48" i="36" s="1"/>
  <c r="M47" i="36"/>
  <c r="L47" i="36"/>
  <c r="J47" i="36"/>
  <c r="I47" i="36"/>
  <c r="H47" i="36"/>
  <c r="K47" i="36" s="1"/>
  <c r="M46" i="36"/>
  <c r="L46" i="36"/>
  <c r="J46" i="36"/>
  <c r="I46" i="36"/>
  <c r="H46" i="36"/>
  <c r="K46" i="36" s="1"/>
  <c r="M45" i="36"/>
  <c r="L45" i="36"/>
  <c r="J45" i="36"/>
  <c r="I45" i="36"/>
  <c r="H45" i="36"/>
  <c r="K45" i="36" s="1"/>
  <c r="M44" i="36"/>
  <c r="L44" i="36"/>
  <c r="J44" i="36"/>
  <c r="I44" i="36"/>
  <c r="H44" i="36"/>
  <c r="K44" i="36" s="1"/>
  <c r="M43" i="36"/>
  <c r="L43" i="36"/>
  <c r="J43" i="36"/>
  <c r="I43" i="36"/>
  <c r="H43" i="36"/>
  <c r="K43" i="36" s="1"/>
  <c r="M42" i="36"/>
  <c r="L42" i="36"/>
  <c r="J42" i="36"/>
  <c r="I42" i="36"/>
  <c r="H42" i="36"/>
  <c r="K42" i="36" s="1"/>
  <c r="M41" i="36"/>
  <c r="L41" i="36"/>
  <c r="J41" i="36"/>
  <c r="I41" i="36"/>
  <c r="H41" i="36"/>
  <c r="K41" i="36" s="1"/>
  <c r="M40" i="36"/>
  <c r="L40" i="36"/>
  <c r="K40" i="36"/>
  <c r="J40" i="36"/>
  <c r="I40" i="36"/>
  <c r="M39" i="36"/>
  <c r="L39" i="36"/>
  <c r="J39" i="36"/>
  <c r="I39" i="36"/>
  <c r="H39" i="36"/>
  <c r="K39" i="36" s="1"/>
  <c r="M38" i="36"/>
  <c r="L38" i="36"/>
  <c r="J38" i="36"/>
  <c r="I38" i="36"/>
  <c r="H38" i="36"/>
  <c r="K38" i="36" s="1"/>
  <c r="M37" i="36"/>
  <c r="L37" i="36"/>
  <c r="J37" i="36"/>
  <c r="I37" i="36"/>
  <c r="H37" i="36"/>
  <c r="K37" i="36" s="1"/>
  <c r="M36" i="36"/>
  <c r="L36" i="36"/>
  <c r="J36" i="36"/>
  <c r="I36" i="36"/>
  <c r="H36" i="36"/>
  <c r="K36" i="36" s="1"/>
  <c r="M35" i="36"/>
  <c r="L35" i="36"/>
  <c r="J35" i="36"/>
  <c r="I35" i="36"/>
  <c r="H35" i="36"/>
  <c r="K35" i="36" s="1"/>
  <c r="M34" i="36"/>
  <c r="L34" i="36"/>
  <c r="J34" i="36"/>
  <c r="I34" i="36"/>
  <c r="H34" i="36"/>
  <c r="K34" i="36" s="1"/>
  <c r="M33" i="36"/>
  <c r="L33" i="36"/>
  <c r="J33" i="36"/>
  <c r="I33" i="36"/>
  <c r="H33" i="36"/>
  <c r="K33" i="36" s="1"/>
  <c r="M32" i="36"/>
  <c r="L32" i="36"/>
  <c r="J32" i="36"/>
  <c r="I32" i="36"/>
  <c r="H32" i="36"/>
  <c r="K32" i="36" s="1"/>
  <c r="M31" i="36"/>
  <c r="L31" i="36"/>
  <c r="J31" i="36"/>
  <c r="I31" i="36"/>
  <c r="H31" i="36"/>
  <c r="K31" i="36" s="1"/>
  <c r="M30" i="36"/>
  <c r="L30" i="36"/>
  <c r="J30" i="36"/>
  <c r="I30" i="36"/>
  <c r="H30" i="36"/>
  <c r="K30" i="36" s="1"/>
  <c r="M29" i="36"/>
  <c r="L29" i="36"/>
  <c r="J29" i="36"/>
  <c r="I29" i="36"/>
  <c r="H29" i="36"/>
  <c r="K29" i="36" s="1"/>
  <c r="M28" i="36"/>
  <c r="L28" i="36"/>
  <c r="J28" i="36"/>
  <c r="I28" i="36"/>
  <c r="H28" i="36"/>
  <c r="K28" i="36" s="1"/>
  <c r="M27" i="36"/>
  <c r="L27" i="36"/>
  <c r="J27" i="36"/>
  <c r="I27" i="36"/>
  <c r="H27" i="36"/>
  <c r="K27" i="36" s="1"/>
  <c r="M26" i="36"/>
  <c r="L26" i="36"/>
  <c r="J26" i="36"/>
  <c r="I26" i="36"/>
  <c r="H26" i="36"/>
  <c r="K26" i="36" s="1"/>
  <c r="M25" i="36"/>
  <c r="L25" i="36"/>
  <c r="J25" i="36"/>
  <c r="I25" i="36"/>
  <c r="H25" i="36"/>
  <c r="K25" i="36" s="1"/>
  <c r="M24" i="36"/>
  <c r="L24" i="36"/>
  <c r="J24" i="36"/>
  <c r="I24" i="36"/>
  <c r="H24" i="36"/>
  <c r="K24" i="36" s="1"/>
  <c r="M23" i="36"/>
  <c r="L23" i="36"/>
  <c r="J23" i="36"/>
  <c r="I23" i="36"/>
  <c r="H23" i="36"/>
  <c r="K23" i="36" s="1"/>
  <c r="M22" i="36"/>
  <c r="L22" i="36"/>
  <c r="J22" i="36"/>
  <c r="I22" i="36"/>
  <c r="H22" i="36"/>
  <c r="K22" i="36" s="1"/>
  <c r="M21" i="36"/>
  <c r="L21" i="36"/>
  <c r="J21" i="36"/>
  <c r="I21" i="36"/>
  <c r="H21" i="36"/>
  <c r="K21" i="36" s="1"/>
  <c r="M20" i="36"/>
  <c r="L20" i="36"/>
  <c r="J20" i="36"/>
  <c r="I20" i="36"/>
  <c r="H20" i="36"/>
  <c r="K20" i="36" s="1"/>
  <c r="M19" i="36"/>
  <c r="L19" i="36"/>
  <c r="J19" i="36"/>
  <c r="I19" i="36"/>
  <c r="H19" i="36"/>
  <c r="K19" i="36" s="1"/>
  <c r="M18" i="36"/>
  <c r="L18" i="36"/>
  <c r="J18" i="36"/>
  <c r="I18" i="36"/>
  <c r="H18" i="36"/>
  <c r="K18" i="36" s="1"/>
  <c r="M17" i="36"/>
  <c r="L17" i="36"/>
  <c r="J17" i="36"/>
  <c r="I17" i="36"/>
  <c r="H17" i="36"/>
  <c r="K17" i="36" s="1"/>
  <c r="M16" i="36"/>
  <c r="L16" i="36"/>
  <c r="J16" i="36"/>
  <c r="I16" i="36"/>
  <c r="H16" i="36"/>
  <c r="K16" i="36" s="1"/>
  <c r="M15" i="36"/>
  <c r="L15" i="36"/>
  <c r="J15" i="36"/>
  <c r="I15" i="36"/>
  <c r="H15" i="36"/>
  <c r="K15" i="36" s="1"/>
  <c r="M14" i="36"/>
  <c r="L14" i="36"/>
  <c r="J14" i="36"/>
  <c r="I14" i="36"/>
  <c r="H14" i="36"/>
  <c r="K14" i="36" s="1"/>
  <c r="M13" i="36"/>
  <c r="L13" i="36"/>
  <c r="J13" i="36"/>
  <c r="I13" i="36"/>
  <c r="H13" i="36"/>
  <c r="K13" i="36" s="1"/>
  <c r="M12" i="36"/>
  <c r="L12" i="36"/>
  <c r="J12" i="36"/>
  <c r="I12" i="36"/>
  <c r="H12" i="36"/>
  <c r="K12" i="36" s="1"/>
  <c r="M11" i="36"/>
  <c r="L11" i="36"/>
  <c r="J11" i="36"/>
  <c r="I11" i="36"/>
  <c r="H11" i="36"/>
  <c r="K11" i="36" s="1"/>
  <c r="M10" i="36"/>
  <c r="L10" i="36"/>
  <c r="J10" i="36"/>
  <c r="I10" i="36"/>
  <c r="H10" i="36"/>
  <c r="K10" i="36" s="1"/>
  <c r="M9" i="36"/>
  <c r="L9" i="36"/>
  <c r="J9" i="36"/>
  <c r="I9" i="36"/>
  <c r="H9" i="36"/>
  <c r="K9" i="36" s="1"/>
  <c r="M8" i="36"/>
  <c r="L8" i="36"/>
  <c r="J8" i="36"/>
  <c r="I8" i="36"/>
  <c r="H8" i="36"/>
  <c r="K8" i="36" s="1"/>
  <c r="M7" i="36"/>
  <c r="L7" i="36"/>
  <c r="J7" i="36"/>
  <c r="I7" i="36"/>
  <c r="H7" i="36"/>
  <c r="K7" i="36" s="1"/>
  <c r="M6" i="36"/>
  <c r="L6" i="36"/>
  <c r="J6" i="36"/>
  <c r="I6" i="36"/>
  <c r="H6" i="36"/>
  <c r="K6" i="36" s="1"/>
  <c r="M5" i="36"/>
  <c r="L5" i="36"/>
  <c r="J5" i="36"/>
  <c r="I5" i="36"/>
  <c r="H5" i="36"/>
  <c r="K5" i="36" s="1"/>
  <c r="H90" i="35"/>
  <c r="K90" i="35" s="1"/>
  <c r="I90" i="35"/>
  <c r="J90" i="35"/>
  <c r="M90" i="35"/>
  <c r="H89" i="35"/>
  <c r="K89" i="35" s="1"/>
  <c r="I89" i="35"/>
  <c r="J89" i="35"/>
  <c r="L89" i="35"/>
  <c r="D129" i="35"/>
  <c r="D131" i="35" s="1"/>
  <c r="M88" i="35"/>
  <c r="L88" i="35"/>
  <c r="J88" i="35"/>
  <c r="I88" i="35"/>
  <c r="H88" i="35"/>
  <c r="M87" i="35"/>
  <c r="L87" i="35"/>
  <c r="J87" i="35"/>
  <c r="I87" i="35"/>
  <c r="H87" i="35"/>
  <c r="J86" i="35"/>
  <c r="I86" i="35"/>
  <c r="H86" i="35"/>
  <c r="J85" i="35"/>
  <c r="I85" i="35"/>
  <c r="H85" i="35"/>
  <c r="J84" i="35"/>
  <c r="I84" i="35"/>
  <c r="H84" i="35"/>
  <c r="J83" i="35"/>
  <c r="I83" i="35"/>
  <c r="H83" i="35"/>
  <c r="J82" i="35"/>
  <c r="I82" i="35"/>
  <c r="H82" i="35"/>
  <c r="J81" i="35"/>
  <c r="I81" i="35"/>
  <c r="H81" i="35"/>
  <c r="J80" i="35"/>
  <c r="I80" i="35"/>
  <c r="H80" i="35"/>
  <c r="J79" i="35"/>
  <c r="I79" i="35"/>
  <c r="H79" i="35"/>
  <c r="M78" i="35"/>
  <c r="L78" i="35"/>
  <c r="J78" i="35"/>
  <c r="I78" i="35"/>
  <c r="H78" i="35"/>
  <c r="K78" i="35" s="1"/>
  <c r="M77" i="35"/>
  <c r="L77" i="35"/>
  <c r="J77" i="35"/>
  <c r="I77" i="35"/>
  <c r="H77" i="35"/>
  <c r="K77" i="35" s="1"/>
  <c r="J76" i="35"/>
  <c r="I76" i="35"/>
  <c r="H76" i="35"/>
  <c r="M75" i="35"/>
  <c r="L75" i="35"/>
  <c r="J75" i="35"/>
  <c r="I75" i="35"/>
  <c r="H75" i="35"/>
  <c r="K75" i="35" s="1"/>
  <c r="M74" i="35"/>
  <c r="L74" i="35"/>
  <c r="J74" i="35"/>
  <c r="I74" i="35"/>
  <c r="H74" i="35"/>
  <c r="K74" i="35" s="1"/>
  <c r="M73" i="35"/>
  <c r="L73" i="35"/>
  <c r="J73" i="35"/>
  <c r="I73" i="35"/>
  <c r="H73" i="35"/>
  <c r="K73" i="35" s="1"/>
  <c r="M72" i="35"/>
  <c r="L72" i="35"/>
  <c r="J72" i="35"/>
  <c r="I72" i="35"/>
  <c r="H72" i="35"/>
  <c r="K72" i="35" s="1"/>
  <c r="M71" i="35"/>
  <c r="L71" i="35"/>
  <c r="J71" i="35"/>
  <c r="I71" i="35"/>
  <c r="H71" i="35"/>
  <c r="K71" i="35" s="1"/>
  <c r="M70" i="35"/>
  <c r="L70" i="35"/>
  <c r="J70" i="35"/>
  <c r="I70" i="35"/>
  <c r="H70" i="35"/>
  <c r="K70" i="35" s="1"/>
  <c r="M69" i="35"/>
  <c r="L69" i="35"/>
  <c r="J69" i="35"/>
  <c r="I69" i="35"/>
  <c r="H69" i="35"/>
  <c r="K69" i="35" s="1"/>
  <c r="M68" i="35"/>
  <c r="L68" i="35"/>
  <c r="J68" i="35"/>
  <c r="I68" i="35"/>
  <c r="H68" i="35"/>
  <c r="K68" i="35" s="1"/>
  <c r="M67" i="35"/>
  <c r="L67" i="35"/>
  <c r="J67" i="35"/>
  <c r="I67" i="35"/>
  <c r="H67" i="35"/>
  <c r="K67" i="35" s="1"/>
  <c r="M66" i="35"/>
  <c r="L66" i="35"/>
  <c r="J66" i="35"/>
  <c r="I66" i="35"/>
  <c r="H66" i="35"/>
  <c r="K66" i="35" s="1"/>
  <c r="M65" i="35"/>
  <c r="L65" i="35"/>
  <c r="J65" i="35"/>
  <c r="I65" i="35"/>
  <c r="H65" i="35"/>
  <c r="K65" i="35" s="1"/>
  <c r="M64" i="35"/>
  <c r="L64" i="35"/>
  <c r="J64" i="35"/>
  <c r="I64" i="35"/>
  <c r="H64" i="35"/>
  <c r="K64" i="35" s="1"/>
  <c r="M63" i="35"/>
  <c r="L63" i="35"/>
  <c r="J63" i="35"/>
  <c r="I63" i="35"/>
  <c r="H63" i="35"/>
  <c r="K63" i="35" s="1"/>
  <c r="M62" i="35"/>
  <c r="L62" i="35"/>
  <c r="J62" i="35"/>
  <c r="I62" i="35"/>
  <c r="H62" i="35"/>
  <c r="K62" i="35" s="1"/>
  <c r="M61" i="35"/>
  <c r="L61" i="35"/>
  <c r="J61" i="35"/>
  <c r="I61" i="35"/>
  <c r="H61" i="35"/>
  <c r="K61" i="35" s="1"/>
  <c r="M60" i="35"/>
  <c r="L60" i="35"/>
  <c r="J60" i="35"/>
  <c r="I60" i="35"/>
  <c r="H60" i="35"/>
  <c r="K60" i="35" s="1"/>
  <c r="M59" i="35"/>
  <c r="L59" i="35"/>
  <c r="J59" i="35"/>
  <c r="I59" i="35"/>
  <c r="H59" i="35"/>
  <c r="K59" i="35" s="1"/>
  <c r="M58" i="35"/>
  <c r="L58" i="35"/>
  <c r="J58" i="35"/>
  <c r="I58" i="35"/>
  <c r="H58" i="35"/>
  <c r="K58" i="35" s="1"/>
  <c r="M57" i="35"/>
  <c r="L57" i="35"/>
  <c r="J57" i="35"/>
  <c r="I57" i="35"/>
  <c r="H57" i="35"/>
  <c r="K57" i="35" s="1"/>
  <c r="M56" i="35"/>
  <c r="L56" i="35"/>
  <c r="J56" i="35"/>
  <c r="I56" i="35"/>
  <c r="H56" i="35"/>
  <c r="K56" i="35" s="1"/>
  <c r="M55" i="35"/>
  <c r="L55" i="35"/>
  <c r="J55" i="35"/>
  <c r="I55" i="35"/>
  <c r="H55" i="35"/>
  <c r="K55" i="35" s="1"/>
  <c r="M54" i="35"/>
  <c r="L54" i="35"/>
  <c r="J54" i="35"/>
  <c r="I54" i="35"/>
  <c r="H54" i="35"/>
  <c r="K54" i="35" s="1"/>
  <c r="M53" i="35"/>
  <c r="L53" i="35"/>
  <c r="J53" i="35"/>
  <c r="I53" i="35"/>
  <c r="H53" i="35"/>
  <c r="K53" i="35" s="1"/>
  <c r="M52" i="35"/>
  <c r="L52" i="35"/>
  <c r="J52" i="35"/>
  <c r="I52" i="35"/>
  <c r="H52" i="35"/>
  <c r="K52" i="35" s="1"/>
  <c r="M51" i="35"/>
  <c r="L51" i="35"/>
  <c r="J51" i="35"/>
  <c r="I51" i="35"/>
  <c r="H51" i="35"/>
  <c r="K51" i="35" s="1"/>
  <c r="M50" i="35"/>
  <c r="L50" i="35"/>
  <c r="J50" i="35"/>
  <c r="I50" i="35"/>
  <c r="H50" i="35"/>
  <c r="K50" i="35" s="1"/>
  <c r="M49" i="35"/>
  <c r="L49" i="35"/>
  <c r="J49" i="35"/>
  <c r="I49" i="35"/>
  <c r="H49" i="35"/>
  <c r="K49" i="35" s="1"/>
  <c r="M48" i="35"/>
  <c r="L48" i="35"/>
  <c r="J48" i="35"/>
  <c r="I48" i="35"/>
  <c r="H48" i="35"/>
  <c r="K48" i="35" s="1"/>
  <c r="M47" i="35"/>
  <c r="L47" i="35"/>
  <c r="J47" i="35"/>
  <c r="I47" i="35"/>
  <c r="H47" i="35"/>
  <c r="K47" i="35" s="1"/>
  <c r="M46" i="35"/>
  <c r="L46" i="35"/>
  <c r="J46" i="35"/>
  <c r="I46" i="35"/>
  <c r="H46" i="35"/>
  <c r="K46" i="35" s="1"/>
  <c r="M45" i="35"/>
  <c r="L45" i="35"/>
  <c r="J45" i="35"/>
  <c r="I45" i="35"/>
  <c r="H45" i="35"/>
  <c r="K45" i="35" s="1"/>
  <c r="M44" i="35"/>
  <c r="L44" i="35"/>
  <c r="J44" i="35"/>
  <c r="I44" i="35"/>
  <c r="H44" i="35"/>
  <c r="K44" i="35" s="1"/>
  <c r="M43" i="35"/>
  <c r="L43" i="35"/>
  <c r="J43" i="35"/>
  <c r="I43" i="35"/>
  <c r="H43" i="35"/>
  <c r="K43" i="35" s="1"/>
  <c r="M42" i="35"/>
  <c r="L42" i="35"/>
  <c r="J42" i="35"/>
  <c r="I42" i="35"/>
  <c r="H42" i="35"/>
  <c r="K42" i="35" s="1"/>
  <c r="M41" i="35"/>
  <c r="L41" i="35"/>
  <c r="J41" i="35"/>
  <c r="I41" i="35"/>
  <c r="H41" i="35"/>
  <c r="K41" i="35" s="1"/>
  <c r="M40" i="35"/>
  <c r="L40" i="35"/>
  <c r="J40" i="35"/>
  <c r="I40" i="35"/>
  <c r="H40" i="35"/>
  <c r="K40" i="35" s="1"/>
  <c r="M39" i="35"/>
  <c r="L39" i="35"/>
  <c r="J39" i="35"/>
  <c r="I39" i="35"/>
  <c r="H39" i="35"/>
  <c r="K39" i="35" s="1"/>
  <c r="M38" i="35"/>
  <c r="L38" i="35"/>
  <c r="J38" i="35"/>
  <c r="I38" i="35"/>
  <c r="H38" i="35"/>
  <c r="K38" i="35" s="1"/>
  <c r="M37" i="35"/>
  <c r="L37" i="35"/>
  <c r="J37" i="35"/>
  <c r="I37" i="35"/>
  <c r="H37" i="35"/>
  <c r="K37" i="35" s="1"/>
  <c r="M36" i="35"/>
  <c r="L36" i="35"/>
  <c r="J36" i="35"/>
  <c r="I36" i="35"/>
  <c r="H36" i="35"/>
  <c r="K36" i="35" s="1"/>
  <c r="M35" i="35"/>
  <c r="L35" i="35"/>
  <c r="J35" i="35"/>
  <c r="I35" i="35"/>
  <c r="H35" i="35"/>
  <c r="K35" i="35" s="1"/>
  <c r="M34" i="35"/>
  <c r="L34" i="35"/>
  <c r="J34" i="35"/>
  <c r="I34" i="35"/>
  <c r="H34" i="35"/>
  <c r="K34" i="35" s="1"/>
  <c r="M33" i="35"/>
  <c r="L33" i="35"/>
  <c r="J33" i="35"/>
  <c r="I33" i="35"/>
  <c r="H33" i="35"/>
  <c r="K33" i="35" s="1"/>
  <c r="M32" i="35"/>
  <c r="L32" i="35"/>
  <c r="J32" i="35"/>
  <c r="I32" i="35"/>
  <c r="H32" i="35"/>
  <c r="K32" i="35" s="1"/>
  <c r="M31" i="35"/>
  <c r="L31" i="35"/>
  <c r="J31" i="35"/>
  <c r="I31" i="35"/>
  <c r="H31" i="35"/>
  <c r="K31" i="35" s="1"/>
  <c r="M30" i="35"/>
  <c r="L30" i="35"/>
  <c r="J30" i="35"/>
  <c r="I30" i="35"/>
  <c r="H30" i="35"/>
  <c r="K30" i="35" s="1"/>
  <c r="M29" i="35"/>
  <c r="L29" i="35"/>
  <c r="J29" i="35"/>
  <c r="I29" i="35"/>
  <c r="H29" i="35"/>
  <c r="K29" i="35" s="1"/>
  <c r="M28" i="35"/>
  <c r="L28" i="35"/>
  <c r="J28" i="35"/>
  <c r="I28" i="35"/>
  <c r="H28" i="35"/>
  <c r="K28" i="35" s="1"/>
  <c r="M27" i="35"/>
  <c r="L27" i="35"/>
  <c r="J27" i="35"/>
  <c r="I27" i="35"/>
  <c r="H27" i="35"/>
  <c r="K27" i="35" s="1"/>
  <c r="M26" i="35"/>
  <c r="L26" i="35"/>
  <c r="J26" i="35"/>
  <c r="I26" i="35"/>
  <c r="H26" i="35"/>
  <c r="K26" i="35" s="1"/>
  <c r="M25" i="35"/>
  <c r="L25" i="35"/>
  <c r="J25" i="35"/>
  <c r="I25" i="35"/>
  <c r="H25" i="35"/>
  <c r="K25" i="35" s="1"/>
  <c r="M24" i="35"/>
  <c r="L24" i="35"/>
  <c r="J24" i="35"/>
  <c r="I24" i="35"/>
  <c r="H24" i="35"/>
  <c r="K24" i="35" s="1"/>
  <c r="M23" i="35"/>
  <c r="L23" i="35"/>
  <c r="J23" i="35"/>
  <c r="I23" i="35"/>
  <c r="H23" i="35"/>
  <c r="K23" i="35" s="1"/>
  <c r="M22" i="35"/>
  <c r="L22" i="35"/>
  <c r="J22" i="35"/>
  <c r="I22" i="35"/>
  <c r="H22" i="35"/>
  <c r="K22" i="35" s="1"/>
  <c r="M21" i="35"/>
  <c r="L21" i="35"/>
  <c r="J21" i="35"/>
  <c r="I21" i="35"/>
  <c r="H21" i="35"/>
  <c r="K21" i="35" s="1"/>
  <c r="M20" i="35"/>
  <c r="L20" i="35"/>
  <c r="J20" i="35"/>
  <c r="I20" i="35"/>
  <c r="H20" i="35"/>
  <c r="K20" i="35" s="1"/>
  <c r="M19" i="35"/>
  <c r="L19" i="35"/>
  <c r="J19" i="35"/>
  <c r="I19" i="35"/>
  <c r="H19" i="35"/>
  <c r="K19" i="35" s="1"/>
  <c r="M18" i="35"/>
  <c r="L18" i="35"/>
  <c r="J18" i="35"/>
  <c r="I18" i="35"/>
  <c r="H18" i="35"/>
  <c r="K18" i="35" s="1"/>
  <c r="M17" i="35"/>
  <c r="L17" i="35"/>
  <c r="J17" i="35"/>
  <c r="I17" i="35"/>
  <c r="H17" i="35"/>
  <c r="K17" i="35" s="1"/>
  <c r="M16" i="35"/>
  <c r="L16" i="35"/>
  <c r="J16" i="35"/>
  <c r="I16" i="35"/>
  <c r="H16" i="35"/>
  <c r="K16" i="35" s="1"/>
  <c r="M15" i="35"/>
  <c r="L15" i="35"/>
  <c r="J15" i="35"/>
  <c r="I15" i="35"/>
  <c r="H15" i="35"/>
  <c r="K15" i="35" s="1"/>
  <c r="M14" i="35"/>
  <c r="L14" i="35"/>
  <c r="J14" i="35"/>
  <c r="I14" i="35"/>
  <c r="H14" i="35"/>
  <c r="K14" i="35" s="1"/>
  <c r="M13" i="35"/>
  <c r="L13" i="35"/>
  <c r="J13" i="35"/>
  <c r="I13" i="35"/>
  <c r="H13" i="35"/>
  <c r="K13" i="35" s="1"/>
  <c r="M12" i="35"/>
  <c r="L12" i="35"/>
  <c r="J12" i="35"/>
  <c r="I12" i="35"/>
  <c r="H12" i="35"/>
  <c r="K12" i="35" s="1"/>
  <c r="M11" i="35"/>
  <c r="L11" i="35"/>
  <c r="J11" i="35"/>
  <c r="I11" i="35"/>
  <c r="H11" i="35"/>
  <c r="K11" i="35" s="1"/>
  <c r="M10" i="35"/>
  <c r="L10" i="35"/>
  <c r="J10" i="35"/>
  <c r="I10" i="35"/>
  <c r="H10" i="35"/>
  <c r="K10" i="35" s="1"/>
  <c r="M9" i="35"/>
  <c r="L9" i="35"/>
  <c r="J9" i="35"/>
  <c r="I9" i="35"/>
  <c r="H9" i="35"/>
  <c r="K9" i="35" s="1"/>
  <c r="M8" i="35"/>
  <c r="L8" i="35"/>
  <c r="J8" i="35"/>
  <c r="I8" i="35"/>
  <c r="H8" i="35"/>
  <c r="K8" i="35" s="1"/>
  <c r="M7" i="35"/>
  <c r="L7" i="35"/>
  <c r="J7" i="35"/>
  <c r="I7" i="35"/>
  <c r="H7" i="35"/>
  <c r="K7" i="35" s="1"/>
  <c r="M6" i="35"/>
  <c r="L6" i="35"/>
  <c r="J6" i="35"/>
  <c r="I6" i="35"/>
  <c r="H6" i="35"/>
  <c r="K6" i="35" s="1"/>
  <c r="M5" i="35"/>
  <c r="L5" i="35"/>
  <c r="J5" i="35"/>
  <c r="I5" i="35"/>
  <c r="H5" i="35"/>
  <c r="K5" i="35" s="1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I60" i="37" l="1"/>
  <c r="M60" i="37"/>
  <c r="L60" i="37"/>
  <c r="J60" i="37"/>
  <c r="K60" i="37"/>
  <c r="I59" i="36"/>
  <c r="J59" i="36"/>
  <c r="M59" i="36"/>
  <c r="L59" i="36"/>
  <c r="K59" i="36"/>
  <c r="I91" i="35"/>
  <c r="J91" i="35"/>
  <c r="L90" i="35"/>
  <c r="L91" i="35" s="1"/>
  <c r="M89" i="35"/>
  <c r="M91" i="35"/>
  <c r="G96" i="35"/>
  <c r="K91" i="35"/>
  <c r="K30" i="34"/>
  <c r="I30" i="34"/>
  <c r="J30" i="34"/>
  <c r="L30" i="34"/>
  <c r="M30" i="34"/>
  <c r="C139" i="34" l="1"/>
  <c r="D130" i="34"/>
  <c r="D132" i="34" s="1"/>
  <c r="M88" i="34"/>
  <c r="L88" i="34"/>
  <c r="J88" i="34"/>
  <c r="I88" i="34"/>
  <c r="M87" i="34"/>
  <c r="L87" i="34"/>
  <c r="J87" i="34"/>
  <c r="I87" i="34"/>
  <c r="J86" i="34"/>
  <c r="I86" i="34"/>
  <c r="J85" i="34"/>
  <c r="I85" i="34"/>
  <c r="J84" i="34"/>
  <c r="I84" i="34"/>
  <c r="J83" i="34"/>
  <c r="I83" i="34"/>
  <c r="J82" i="34"/>
  <c r="I82" i="34"/>
  <c r="J81" i="34"/>
  <c r="I81" i="34"/>
  <c r="J80" i="34"/>
  <c r="I80" i="34"/>
  <c r="J79" i="34"/>
  <c r="I79" i="34"/>
  <c r="M78" i="34"/>
  <c r="L78" i="34"/>
  <c r="J78" i="34"/>
  <c r="I78" i="34"/>
  <c r="K78" i="34"/>
  <c r="M77" i="34"/>
  <c r="L77" i="34"/>
  <c r="J77" i="34"/>
  <c r="I77" i="34"/>
  <c r="K77" i="34"/>
  <c r="J76" i="34"/>
  <c r="I76" i="34"/>
  <c r="M75" i="34"/>
  <c r="L75" i="34"/>
  <c r="J75" i="34"/>
  <c r="I75" i="34"/>
  <c r="K75" i="34"/>
  <c r="M74" i="34"/>
  <c r="L74" i="34"/>
  <c r="J74" i="34"/>
  <c r="I74" i="34"/>
  <c r="K74" i="34"/>
  <c r="M73" i="34"/>
  <c r="L73" i="34"/>
  <c r="J73" i="34"/>
  <c r="I73" i="34"/>
  <c r="K73" i="34"/>
  <c r="M72" i="34"/>
  <c r="L72" i="34"/>
  <c r="J72" i="34"/>
  <c r="I72" i="34"/>
  <c r="K72" i="34"/>
  <c r="M71" i="34"/>
  <c r="L71" i="34"/>
  <c r="J71" i="34"/>
  <c r="I71" i="34"/>
  <c r="K71" i="34"/>
  <c r="M70" i="34"/>
  <c r="L70" i="34"/>
  <c r="J70" i="34"/>
  <c r="I70" i="34"/>
  <c r="K70" i="34"/>
  <c r="M69" i="34"/>
  <c r="L69" i="34"/>
  <c r="J69" i="34"/>
  <c r="I69" i="34"/>
  <c r="K69" i="34"/>
  <c r="M68" i="34"/>
  <c r="L68" i="34"/>
  <c r="J68" i="34"/>
  <c r="I68" i="34"/>
  <c r="K68" i="34"/>
  <c r="M67" i="34"/>
  <c r="L67" i="34"/>
  <c r="J67" i="34"/>
  <c r="I67" i="34"/>
  <c r="K67" i="34"/>
  <c r="M66" i="34"/>
  <c r="L66" i="34"/>
  <c r="J66" i="34"/>
  <c r="I66" i="34"/>
  <c r="K66" i="34"/>
  <c r="M65" i="34"/>
  <c r="L65" i="34"/>
  <c r="K65" i="34"/>
  <c r="J65" i="34"/>
  <c r="I65" i="34"/>
  <c r="M64" i="34"/>
  <c r="L64" i="34"/>
  <c r="J64" i="34"/>
  <c r="I64" i="34"/>
  <c r="K64" i="34"/>
  <c r="M63" i="34"/>
  <c r="L63" i="34"/>
  <c r="J63" i="34"/>
  <c r="I63" i="34"/>
  <c r="K63" i="34"/>
  <c r="M62" i="34"/>
  <c r="L62" i="34"/>
  <c r="J62" i="34"/>
  <c r="I62" i="34"/>
  <c r="K62" i="34"/>
  <c r="M61" i="34"/>
  <c r="L61" i="34"/>
  <c r="J61" i="34"/>
  <c r="I61" i="34"/>
  <c r="K61" i="34"/>
  <c r="M60" i="34"/>
  <c r="L60" i="34"/>
  <c r="J60" i="34"/>
  <c r="I60" i="34"/>
  <c r="K60" i="34"/>
  <c r="M59" i="34"/>
  <c r="L59" i="34"/>
  <c r="J59" i="34"/>
  <c r="I59" i="34"/>
  <c r="K59" i="34"/>
  <c r="M58" i="34"/>
  <c r="L58" i="34"/>
  <c r="J58" i="34"/>
  <c r="I58" i="34"/>
  <c r="K58" i="34"/>
  <c r="M57" i="34"/>
  <c r="L57" i="34"/>
  <c r="J57" i="34"/>
  <c r="I57" i="34"/>
  <c r="K57" i="34"/>
  <c r="M56" i="34"/>
  <c r="L56" i="34"/>
  <c r="J56" i="34"/>
  <c r="I56" i="34"/>
  <c r="K56" i="34"/>
  <c r="M55" i="34"/>
  <c r="L55" i="34"/>
  <c r="J55" i="34"/>
  <c r="I55" i="34"/>
  <c r="K55" i="34"/>
  <c r="M54" i="34"/>
  <c r="L54" i="34"/>
  <c r="J54" i="34"/>
  <c r="I54" i="34"/>
  <c r="K54" i="34"/>
  <c r="M53" i="34"/>
  <c r="L53" i="34"/>
  <c r="J53" i="34"/>
  <c r="I53" i="34"/>
  <c r="K53" i="34"/>
  <c r="M52" i="34"/>
  <c r="L52" i="34"/>
  <c r="J52" i="34"/>
  <c r="I52" i="34"/>
  <c r="K52" i="34"/>
  <c r="M51" i="34"/>
  <c r="L51" i="34"/>
  <c r="J51" i="34"/>
  <c r="I51" i="34"/>
  <c r="K51" i="34"/>
  <c r="M50" i="34"/>
  <c r="L50" i="34"/>
  <c r="J50" i="34"/>
  <c r="I50" i="34"/>
  <c r="K50" i="34"/>
  <c r="M49" i="34"/>
  <c r="L49" i="34"/>
  <c r="J49" i="34"/>
  <c r="I49" i="34"/>
  <c r="K49" i="34"/>
  <c r="M48" i="34"/>
  <c r="L48" i="34"/>
  <c r="J48" i="34"/>
  <c r="I48" i="34"/>
  <c r="K48" i="34"/>
  <c r="M47" i="34"/>
  <c r="L47" i="34"/>
  <c r="J47" i="34"/>
  <c r="I47" i="34"/>
  <c r="K47" i="34"/>
  <c r="M46" i="34"/>
  <c r="L46" i="34"/>
  <c r="J46" i="34"/>
  <c r="I46" i="34"/>
  <c r="K46" i="34"/>
  <c r="M45" i="34"/>
  <c r="L45" i="34"/>
  <c r="J45" i="34"/>
  <c r="I45" i="34"/>
  <c r="K45" i="34"/>
  <c r="M44" i="34"/>
  <c r="L44" i="34"/>
  <c r="J44" i="34"/>
  <c r="I44" i="34"/>
  <c r="K44" i="34"/>
  <c r="M43" i="34"/>
  <c r="L43" i="34"/>
  <c r="J43" i="34"/>
  <c r="I43" i="34"/>
  <c r="K43" i="34"/>
  <c r="M42" i="34"/>
  <c r="L42" i="34"/>
  <c r="J42" i="34"/>
  <c r="I42" i="34"/>
  <c r="K42" i="34"/>
  <c r="M41" i="34"/>
  <c r="L41" i="34"/>
  <c r="J41" i="34"/>
  <c r="I41" i="34"/>
  <c r="K41" i="34"/>
  <c r="M40" i="34"/>
  <c r="L40" i="34"/>
  <c r="J40" i="34"/>
  <c r="I40" i="34"/>
  <c r="K40" i="34"/>
  <c r="M39" i="34"/>
  <c r="L39" i="34"/>
  <c r="J39" i="34"/>
  <c r="I39" i="34"/>
  <c r="K39" i="34"/>
  <c r="M38" i="34"/>
  <c r="L38" i="34"/>
  <c r="J38" i="34"/>
  <c r="I38" i="34"/>
  <c r="K38" i="34"/>
  <c r="M37" i="34"/>
  <c r="L37" i="34"/>
  <c r="J37" i="34"/>
  <c r="I37" i="34"/>
  <c r="K37" i="34"/>
  <c r="M36" i="34"/>
  <c r="L36" i="34"/>
  <c r="J36" i="34"/>
  <c r="I36" i="34"/>
  <c r="K36" i="34"/>
  <c r="M35" i="34"/>
  <c r="L35" i="34"/>
  <c r="J35" i="34"/>
  <c r="I35" i="34"/>
  <c r="K35" i="34"/>
  <c r="M34" i="34"/>
  <c r="L34" i="34"/>
  <c r="J34" i="34"/>
  <c r="I34" i="34"/>
  <c r="K34" i="34"/>
  <c r="M33" i="34"/>
  <c r="L33" i="34"/>
  <c r="J33" i="34"/>
  <c r="I33" i="34"/>
  <c r="K33" i="34"/>
  <c r="M32" i="34"/>
  <c r="L32" i="34"/>
  <c r="J32" i="34"/>
  <c r="I32" i="34"/>
  <c r="K32" i="34"/>
  <c r="M31" i="34"/>
  <c r="L31" i="34"/>
  <c r="J31" i="34"/>
  <c r="I31" i="34"/>
  <c r="K31" i="34"/>
  <c r="M29" i="34"/>
  <c r="L29" i="34"/>
  <c r="J29" i="34"/>
  <c r="I29" i="34"/>
  <c r="K29" i="34"/>
  <c r="M28" i="34"/>
  <c r="L28" i="34"/>
  <c r="J28" i="34"/>
  <c r="I28" i="34"/>
  <c r="K28" i="34"/>
  <c r="M27" i="34"/>
  <c r="L27" i="34"/>
  <c r="J27" i="34"/>
  <c r="I27" i="34"/>
  <c r="K27" i="34"/>
  <c r="M26" i="34"/>
  <c r="L26" i="34"/>
  <c r="J26" i="34"/>
  <c r="I26" i="34"/>
  <c r="K26" i="34"/>
  <c r="M25" i="34"/>
  <c r="L25" i="34"/>
  <c r="J25" i="34"/>
  <c r="I25" i="34"/>
  <c r="K25" i="34"/>
  <c r="M24" i="34"/>
  <c r="L24" i="34"/>
  <c r="J24" i="34"/>
  <c r="I24" i="34"/>
  <c r="K24" i="34"/>
  <c r="M23" i="34"/>
  <c r="L23" i="34"/>
  <c r="J23" i="34"/>
  <c r="I23" i="34"/>
  <c r="K23" i="34"/>
  <c r="M22" i="34"/>
  <c r="L22" i="34"/>
  <c r="J22" i="34"/>
  <c r="I22" i="34"/>
  <c r="K22" i="34"/>
  <c r="M21" i="34"/>
  <c r="L21" i="34"/>
  <c r="J21" i="34"/>
  <c r="I21" i="34"/>
  <c r="K21" i="34"/>
  <c r="M20" i="34"/>
  <c r="L20" i="34"/>
  <c r="J20" i="34"/>
  <c r="I20" i="34"/>
  <c r="K20" i="34"/>
  <c r="M19" i="34"/>
  <c r="L19" i="34"/>
  <c r="J19" i="34"/>
  <c r="I19" i="34"/>
  <c r="K19" i="34"/>
  <c r="M18" i="34"/>
  <c r="L18" i="34"/>
  <c r="J18" i="34"/>
  <c r="I18" i="34"/>
  <c r="K18" i="34"/>
  <c r="M17" i="34"/>
  <c r="L17" i="34"/>
  <c r="J17" i="34"/>
  <c r="I17" i="34"/>
  <c r="K17" i="34"/>
  <c r="M16" i="34"/>
  <c r="L16" i="34"/>
  <c r="J16" i="34"/>
  <c r="I16" i="34"/>
  <c r="K16" i="34"/>
  <c r="M15" i="34"/>
  <c r="L15" i="34"/>
  <c r="J15" i="34"/>
  <c r="I15" i="34"/>
  <c r="K15" i="34"/>
  <c r="M14" i="34"/>
  <c r="L14" i="34"/>
  <c r="J14" i="34"/>
  <c r="I14" i="34"/>
  <c r="K14" i="34"/>
  <c r="M13" i="34"/>
  <c r="L13" i="34"/>
  <c r="J13" i="34"/>
  <c r="I13" i="34"/>
  <c r="K13" i="34"/>
  <c r="M12" i="34"/>
  <c r="L12" i="34"/>
  <c r="J12" i="34"/>
  <c r="I12" i="34"/>
  <c r="K12" i="34"/>
  <c r="M11" i="34"/>
  <c r="L11" i="34"/>
  <c r="J11" i="34"/>
  <c r="I11" i="34"/>
  <c r="K11" i="34"/>
  <c r="M10" i="34"/>
  <c r="L10" i="34"/>
  <c r="J10" i="34"/>
  <c r="I10" i="34"/>
  <c r="K10" i="34"/>
  <c r="M9" i="34"/>
  <c r="L9" i="34"/>
  <c r="J9" i="34"/>
  <c r="I9" i="34"/>
  <c r="K9" i="34"/>
  <c r="M8" i="34"/>
  <c r="L8" i="34"/>
  <c r="J8" i="34"/>
  <c r="I8" i="34"/>
  <c r="K8" i="34"/>
  <c r="M7" i="34"/>
  <c r="L7" i="34"/>
  <c r="J7" i="34"/>
  <c r="I7" i="34"/>
  <c r="K7" i="34"/>
  <c r="M6" i="34"/>
  <c r="L6" i="34"/>
  <c r="J6" i="34"/>
  <c r="I6" i="34"/>
  <c r="K6" i="34"/>
  <c r="M5" i="34"/>
  <c r="L5" i="34"/>
  <c r="J5" i="34"/>
  <c r="I5" i="34"/>
  <c r="K5" i="34"/>
  <c r="M89" i="34" l="1"/>
  <c r="I89" i="34"/>
  <c r="G94" i="34"/>
  <c r="K89" i="34"/>
  <c r="L89" i="34"/>
  <c r="J89" i="34"/>
  <c r="H86" i="33"/>
  <c r="H87" i="33"/>
  <c r="I87" i="33"/>
  <c r="J87" i="33"/>
  <c r="L87" i="33"/>
  <c r="M87" i="33"/>
  <c r="I86" i="33"/>
  <c r="J86" i="33"/>
  <c r="L86" i="33"/>
  <c r="M86" i="33"/>
  <c r="D115" i="33"/>
  <c r="D107" i="33"/>
  <c r="D108" i="33" s="1"/>
  <c r="J85" i="33"/>
  <c r="I85" i="33"/>
  <c r="H85" i="33"/>
  <c r="J84" i="33"/>
  <c r="I84" i="33"/>
  <c r="H84" i="33"/>
  <c r="J83" i="33"/>
  <c r="I83" i="33"/>
  <c r="H83" i="33"/>
  <c r="J82" i="33"/>
  <c r="I82" i="33"/>
  <c r="H82" i="33"/>
  <c r="J81" i="33"/>
  <c r="I81" i="33"/>
  <c r="H81" i="33"/>
  <c r="J80" i="33"/>
  <c r="I80" i="33"/>
  <c r="H80" i="33"/>
  <c r="J79" i="33"/>
  <c r="I79" i="33"/>
  <c r="H79" i="33"/>
  <c r="J78" i="33"/>
  <c r="I78" i="33"/>
  <c r="H78" i="33"/>
  <c r="M77" i="33"/>
  <c r="L77" i="33"/>
  <c r="J77" i="33"/>
  <c r="I77" i="33"/>
  <c r="H77" i="33"/>
  <c r="K77" i="33" s="1"/>
  <c r="M76" i="33"/>
  <c r="L76" i="33"/>
  <c r="J76" i="33"/>
  <c r="I76" i="33"/>
  <c r="H76" i="33"/>
  <c r="K76" i="33" s="1"/>
  <c r="J75" i="33"/>
  <c r="I75" i="33"/>
  <c r="H75" i="33"/>
  <c r="M74" i="33"/>
  <c r="L74" i="33"/>
  <c r="J74" i="33"/>
  <c r="I74" i="33"/>
  <c r="H74" i="33"/>
  <c r="K74" i="33" s="1"/>
  <c r="M73" i="33"/>
  <c r="L73" i="33"/>
  <c r="J73" i="33"/>
  <c r="I73" i="33"/>
  <c r="H73" i="33"/>
  <c r="K73" i="33" s="1"/>
  <c r="M72" i="33"/>
  <c r="L72" i="33"/>
  <c r="J72" i="33"/>
  <c r="I72" i="33"/>
  <c r="H72" i="33"/>
  <c r="K72" i="33" s="1"/>
  <c r="M71" i="33"/>
  <c r="L71" i="33"/>
  <c r="J71" i="33"/>
  <c r="I71" i="33"/>
  <c r="H71" i="33"/>
  <c r="K71" i="33" s="1"/>
  <c r="M70" i="33"/>
  <c r="L70" i="33"/>
  <c r="J70" i="33"/>
  <c r="I70" i="33"/>
  <c r="H70" i="33"/>
  <c r="K70" i="33" s="1"/>
  <c r="M69" i="33"/>
  <c r="L69" i="33"/>
  <c r="J69" i="33"/>
  <c r="I69" i="33"/>
  <c r="H69" i="33"/>
  <c r="K69" i="33" s="1"/>
  <c r="M68" i="33"/>
  <c r="L68" i="33"/>
  <c r="J68" i="33"/>
  <c r="I68" i="33"/>
  <c r="H68" i="33"/>
  <c r="K68" i="33" s="1"/>
  <c r="M67" i="33"/>
  <c r="L67" i="33"/>
  <c r="J67" i="33"/>
  <c r="I67" i="33"/>
  <c r="H67" i="33"/>
  <c r="K67" i="33" s="1"/>
  <c r="M66" i="33"/>
  <c r="L66" i="33"/>
  <c r="J66" i="33"/>
  <c r="I66" i="33"/>
  <c r="H66" i="33"/>
  <c r="K66" i="33" s="1"/>
  <c r="M65" i="33"/>
  <c r="L65" i="33"/>
  <c r="J65" i="33"/>
  <c r="I65" i="33"/>
  <c r="H65" i="33"/>
  <c r="K65" i="33" s="1"/>
  <c r="M64" i="33"/>
  <c r="L64" i="33"/>
  <c r="J64" i="33"/>
  <c r="I64" i="33"/>
  <c r="K64" i="33"/>
  <c r="M63" i="33"/>
  <c r="L63" i="33"/>
  <c r="J63" i="33"/>
  <c r="I63" i="33"/>
  <c r="H63" i="33"/>
  <c r="K63" i="33" s="1"/>
  <c r="M62" i="33"/>
  <c r="L62" i="33"/>
  <c r="J62" i="33"/>
  <c r="I62" i="33"/>
  <c r="H62" i="33"/>
  <c r="K62" i="33" s="1"/>
  <c r="M61" i="33"/>
  <c r="L61" i="33"/>
  <c r="J61" i="33"/>
  <c r="I61" i="33"/>
  <c r="H61" i="33"/>
  <c r="K61" i="33" s="1"/>
  <c r="M60" i="33"/>
  <c r="L60" i="33"/>
  <c r="J60" i="33"/>
  <c r="I60" i="33"/>
  <c r="H60" i="33"/>
  <c r="K60" i="33" s="1"/>
  <c r="M59" i="33"/>
  <c r="L59" i="33"/>
  <c r="J59" i="33"/>
  <c r="I59" i="33"/>
  <c r="H59" i="33"/>
  <c r="K59" i="33" s="1"/>
  <c r="M58" i="33"/>
  <c r="L58" i="33"/>
  <c r="J58" i="33"/>
  <c r="I58" i="33"/>
  <c r="H58" i="33"/>
  <c r="K58" i="33" s="1"/>
  <c r="M57" i="33"/>
  <c r="L57" i="33"/>
  <c r="J57" i="33"/>
  <c r="I57" i="33"/>
  <c r="H57" i="33"/>
  <c r="K57" i="33" s="1"/>
  <c r="M56" i="33"/>
  <c r="L56" i="33"/>
  <c r="J56" i="33"/>
  <c r="I56" i="33"/>
  <c r="H56" i="33"/>
  <c r="K56" i="33" s="1"/>
  <c r="M55" i="33"/>
  <c r="L55" i="33"/>
  <c r="J55" i="33"/>
  <c r="I55" i="33"/>
  <c r="H55" i="33"/>
  <c r="K55" i="33" s="1"/>
  <c r="M54" i="33"/>
  <c r="L54" i="33"/>
  <c r="J54" i="33"/>
  <c r="I54" i="33"/>
  <c r="H54" i="33"/>
  <c r="K54" i="33" s="1"/>
  <c r="M53" i="33"/>
  <c r="L53" i="33"/>
  <c r="J53" i="33"/>
  <c r="I53" i="33"/>
  <c r="H53" i="33"/>
  <c r="K53" i="33" s="1"/>
  <c r="M52" i="33"/>
  <c r="L52" i="33"/>
  <c r="J52" i="33"/>
  <c r="I52" i="33"/>
  <c r="H52" i="33"/>
  <c r="K52" i="33" s="1"/>
  <c r="M51" i="33"/>
  <c r="L51" i="33"/>
  <c r="J51" i="33"/>
  <c r="I51" i="33"/>
  <c r="H51" i="33"/>
  <c r="K51" i="33" s="1"/>
  <c r="M50" i="33"/>
  <c r="L50" i="33"/>
  <c r="J50" i="33"/>
  <c r="I50" i="33"/>
  <c r="H50" i="33"/>
  <c r="K50" i="33" s="1"/>
  <c r="M49" i="33"/>
  <c r="L49" i="33"/>
  <c r="J49" i="33"/>
  <c r="I49" i="33"/>
  <c r="H49" i="33"/>
  <c r="K49" i="33" s="1"/>
  <c r="M48" i="33"/>
  <c r="L48" i="33"/>
  <c r="J48" i="33"/>
  <c r="I48" i="33"/>
  <c r="H48" i="33"/>
  <c r="K48" i="33" s="1"/>
  <c r="M47" i="33"/>
  <c r="L47" i="33"/>
  <c r="J47" i="33"/>
  <c r="I47" i="33"/>
  <c r="H47" i="33"/>
  <c r="K47" i="33" s="1"/>
  <c r="M46" i="33"/>
  <c r="L46" i="33"/>
  <c r="J46" i="33"/>
  <c r="I46" i="33"/>
  <c r="H46" i="33"/>
  <c r="K46" i="33" s="1"/>
  <c r="M45" i="33"/>
  <c r="L45" i="33"/>
  <c r="J45" i="33"/>
  <c r="I45" i="33"/>
  <c r="H45" i="33"/>
  <c r="K45" i="33" s="1"/>
  <c r="M44" i="33"/>
  <c r="L44" i="33"/>
  <c r="J44" i="33"/>
  <c r="I44" i="33"/>
  <c r="H44" i="33"/>
  <c r="K44" i="33" s="1"/>
  <c r="M43" i="33"/>
  <c r="L43" i="33"/>
  <c r="J43" i="33"/>
  <c r="I43" i="33"/>
  <c r="H43" i="33"/>
  <c r="K43" i="33" s="1"/>
  <c r="M42" i="33"/>
  <c r="L42" i="33"/>
  <c r="J42" i="33"/>
  <c r="I42" i="33"/>
  <c r="H42" i="33"/>
  <c r="K42" i="33" s="1"/>
  <c r="M41" i="33"/>
  <c r="L41" i="33"/>
  <c r="J41" i="33"/>
  <c r="I41" i="33"/>
  <c r="H41" i="33"/>
  <c r="K41" i="33" s="1"/>
  <c r="M40" i="33"/>
  <c r="L40" i="33"/>
  <c r="J40" i="33"/>
  <c r="I40" i="33"/>
  <c r="H40" i="33"/>
  <c r="K40" i="33" s="1"/>
  <c r="M39" i="33"/>
  <c r="L39" i="33"/>
  <c r="J39" i="33"/>
  <c r="I39" i="33"/>
  <c r="H39" i="33"/>
  <c r="K39" i="33" s="1"/>
  <c r="M38" i="33"/>
  <c r="L38" i="33"/>
  <c r="J38" i="33"/>
  <c r="I38" i="33"/>
  <c r="H38" i="33"/>
  <c r="K38" i="33" s="1"/>
  <c r="M37" i="33"/>
  <c r="L37" i="33"/>
  <c r="J37" i="33"/>
  <c r="I37" i="33"/>
  <c r="H37" i="33"/>
  <c r="K37" i="33" s="1"/>
  <c r="M36" i="33"/>
  <c r="L36" i="33"/>
  <c r="J36" i="33"/>
  <c r="I36" i="33"/>
  <c r="H36" i="33"/>
  <c r="K36" i="33" s="1"/>
  <c r="M35" i="33"/>
  <c r="L35" i="33"/>
  <c r="J35" i="33"/>
  <c r="I35" i="33"/>
  <c r="H35" i="33"/>
  <c r="K35" i="33" s="1"/>
  <c r="M34" i="33"/>
  <c r="L34" i="33"/>
  <c r="J34" i="33"/>
  <c r="I34" i="33"/>
  <c r="H34" i="33"/>
  <c r="K34" i="33" s="1"/>
  <c r="M33" i="33"/>
  <c r="L33" i="33"/>
  <c r="J33" i="33"/>
  <c r="I33" i="33"/>
  <c r="H33" i="33"/>
  <c r="K33" i="33" s="1"/>
  <c r="M32" i="33"/>
  <c r="L32" i="33"/>
  <c r="J32" i="33"/>
  <c r="I32" i="33"/>
  <c r="H32" i="33"/>
  <c r="K32" i="33" s="1"/>
  <c r="M31" i="33"/>
  <c r="L31" i="33"/>
  <c r="J31" i="33"/>
  <c r="I31" i="33"/>
  <c r="H31" i="33"/>
  <c r="K31" i="33" s="1"/>
  <c r="M30" i="33"/>
  <c r="L30" i="33"/>
  <c r="J30" i="33"/>
  <c r="I30" i="33"/>
  <c r="H30" i="33"/>
  <c r="K30" i="33" s="1"/>
  <c r="M29" i="33"/>
  <c r="L29" i="33"/>
  <c r="J29" i="33"/>
  <c r="I29" i="33"/>
  <c r="H29" i="33"/>
  <c r="K29" i="33" s="1"/>
  <c r="M28" i="33"/>
  <c r="L28" i="33"/>
  <c r="J28" i="33"/>
  <c r="I28" i="33"/>
  <c r="H28" i="33"/>
  <c r="K28" i="33" s="1"/>
  <c r="M27" i="33"/>
  <c r="L27" i="33"/>
  <c r="J27" i="33"/>
  <c r="I27" i="33"/>
  <c r="H27" i="33"/>
  <c r="K27" i="33" s="1"/>
  <c r="M26" i="33"/>
  <c r="L26" i="33"/>
  <c r="J26" i="33"/>
  <c r="I26" i="33"/>
  <c r="H26" i="33"/>
  <c r="K26" i="33" s="1"/>
  <c r="M25" i="33"/>
  <c r="L25" i="33"/>
  <c r="J25" i="33"/>
  <c r="I25" i="33"/>
  <c r="H25" i="33"/>
  <c r="K25" i="33" s="1"/>
  <c r="M24" i="33"/>
  <c r="L24" i="33"/>
  <c r="J24" i="33"/>
  <c r="I24" i="33"/>
  <c r="H24" i="33"/>
  <c r="K24" i="33" s="1"/>
  <c r="M23" i="33"/>
  <c r="L23" i="33"/>
  <c r="J23" i="33"/>
  <c r="I23" i="33"/>
  <c r="H23" i="33"/>
  <c r="K23" i="33" s="1"/>
  <c r="M22" i="33"/>
  <c r="L22" i="33"/>
  <c r="J22" i="33"/>
  <c r="I22" i="33"/>
  <c r="H22" i="33"/>
  <c r="K22" i="33" s="1"/>
  <c r="M21" i="33"/>
  <c r="L21" i="33"/>
  <c r="J21" i="33"/>
  <c r="I21" i="33"/>
  <c r="H21" i="33"/>
  <c r="K21" i="33" s="1"/>
  <c r="M20" i="33"/>
  <c r="L20" i="33"/>
  <c r="J20" i="33"/>
  <c r="I20" i="33"/>
  <c r="H20" i="33"/>
  <c r="K20" i="33" s="1"/>
  <c r="M19" i="33"/>
  <c r="L19" i="33"/>
  <c r="J19" i="33"/>
  <c r="I19" i="33"/>
  <c r="H19" i="33"/>
  <c r="K19" i="33" s="1"/>
  <c r="M18" i="33"/>
  <c r="L18" i="33"/>
  <c r="J18" i="33"/>
  <c r="I18" i="33"/>
  <c r="H18" i="33"/>
  <c r="K18" i="33" s="1"/>
  <c r="M17" i="33"/>
  <c r="L17" i="33"/>
  <c r="J17" i="33"/>
  <c r="I17" i="33"/>
  <c r="H17" i="33"/>
  <c r="K17" i="33" s="1"/>
  <c r="M16" i="33"/>
  <c r="L16" i="33"/>
  <c r="J16" i="33"/>
  <c r="I16" i="33"/>
  <c r="H16" i="33"/>
  <c r="K16" i="33" s="1"/>
  <c r="M15" i="33"/>
  <c r="L15" i="33"/>
  <c r="J15" i="33"/>
  <c r="I15" i="33"/>
  <c r="H15" i="33"/>
  <c r="K15" i="33" s="1"/>
  <c r="M14" i="33"/>
  <c r="L14" i="33"/>
  <c r="J14" i="33"/>
  <c r="I14" i="33"/>
  <c r="H14" i="33"/>
  <c r="K14" i="33" s="1"/>
  <c r="M13" i="33"/>
  <c r="L13" i="33"/>
  <c r="J13" i="33"/>
  <c r="I13" i="33"/>
  <c r="H13" i="33"/>
  <c r="K13" i="33" s="1"/>
  <c r="M12" i="33"/>
  <c r="L12" i="33"/>
  <c r="J12" i="33"/>
  <c r="I12" i="33"/>
  <c r="H12" i="33"/>
  <c r="K12" i="33" s="1"/>
  <c r="M11" i="33"/>
  <c r="L11" i="33"/>
  <c r="J11" i="33"/>
  <c r="I11" i="33"/>
  <c r="H11" i="33"/>
  <c r="K11" i="33" s="1"/>
  <c r="M10" i="33"/>
  <c r="L10" i="33"/>
  <c r="J10" i="33"/>
  <c r="I10" i="33"/>
  <c r="H10" i="33"/>
  <c r="K10" i="33" s="1"/>
  <c r="M9" i="33"/>
  <c r="L9" i="33"/>
  <c r="J9" i="33"/>
  <c r="I9" i="33"/>
  <c r="H9" i="33"/>
  <c r="K9" i="33" s="1"/>
  <c r="M8" i="33"/>
  <c r="L8" i="33"/>
  <c r="J8" i="33"/>
  <c r="I8" i="33"/>
  <c r="H8" i="33"/>
  <c r="K8" i="33" s="1"/>
  <c r="M7" i="33"/>
  <c r="L7" i="33"/>
  <c r="J7" i="33"/>
  <c r="I7" i="33"/>
  <c r="H7" i="33"/>
  <c r="K7" i="33" s="1"/>
  <c r="M6" i="33"/>
  <c r="L6" i="33"/>
  <c r="J6" i="33"/>
  <c r="I6" i="33"/>
  <c r="H6" i="33"/>
  <c r="K6" i="33" s="1"/>
  <c r="M5" i="33"/>
  <c r="L5" i="33"/>
  <c r="J5" i="33"/>
  <c r="I5" i="33"/>
  <c r="H5" i="33"/>
  <c r="K5" i="33" s="1"/>
  <c r="J88" i="33" l="1"/>
  <c r="I88" i="33"/>
  <c r="L88" i="33"/>
  <c r="D117" i="33"/>
  <c r="G93" i="33"/>
  <c r="G96" i="33" s="1"/>
  <c r="M88" i="33"/>
  <c r="K88" i="33"/>
  <c r="F86" i="21"/>
  <c r="F88" i="21" s="1"/>
  <c r="E85" i="19"/>
  <c r="E79" i="19"/>
  <c r="E85" i="17"/>
  <c r="E80" i="17"/>
  <c r="D87" i="5"/>
  <c r="D89" i="5" s="1"/>
  <c r="E87" i="17" l="1"/>
  <c r="E87" i="19"/>
  <c r="C124" i="32"/>
  <c r="D115" i="32" l="1"/>
  <c r="D105" i="32"/>
  <c r="D107" i="32" s="1"/>
  <c r="J85" i="32"/>
  <c r="I85" i="32"/>
  <c r="H85" i="32"/>
  <c r="J84" i="32"/>
  <c r="I84" i="32"/>
  <c r="H84" i="32"/>
  <c r="J83" i="32"/>
  <c r="I83" i="32"/>
  <c r="H83" i="32"/>
  <c r="J82" i="32"/>
  <c r="I82" i="32"/>
  <c r="H82" i="32"/>
  <c r="J81" i="32"/>
  <c r="I81" i="32"/>
  <c r="H81" i="32"/>
  <c r="J80" i="32"/>
  <c r="I80" i="32"/>
  <c r="H80" i="32"/>
  <c r="J79" i="32"/>
  <c r="I79" i="32"/>
  <c r="H79" i="32"/>
  <c r="J78" i="32"/>
  <c r="I78" i="32"/>
  <c r="H78" i="32"/>
  <c r="M77" i="32"/>
  <c r="L77" i="32"/>
  <c r="J77" i="32"/>
  <c r="I77" i="32"/>
  <c r="H77" i="32"/>
  <c r="K77" i="32" s="1"/>
  <c r="M76" i="32"/>
  <c r="L76" i="32"/>
  <c r="J76" i="32"/>
  <c r="I76" i="32"/>
  <c r="H76" i="32"/>
  <c r="K76" i="32" s="1"/>
  <c r="J75" i="32"/>
  <c r="I75" i="32"/>
  <c r="H75" i="32"/>
  <c r="M74" i="32"/>
  <c r="L74" i="32"/>
  <c r="J74" i="32"/>
  <c r="I74" i="32"/>
  <c r="H74" i="32"/>
  <c r="K74" i="32" s="1"/>
  <c r="M73" i="32"/>
  <c r="L73" i="32"/>
  <c r="J73" i="32"/>
  <c r="I73" i="32"/>
  <c r="H73" i="32"/>
  <c r="K73" i="32" s="1"/>
  <c r="M72" i="32"/>
  <c r="L72" i="32"/>
  <c r="J72" i="32"/>
  <c r="I72" i="32"/>
  <c r="H72" i="32"/>
  <c r="K72" i="32" s="1"/>
  <c r="M71" i="32"/>
  <c r="L71" i="32"/>
  <c r="J71" i="32"/>
  <c r="I71" i="32"/>
  <c r="H71" i="32"/>
  <c r="K71" i="32" s="1"/>
  <c r="M70" i="32"/>
  <c r="L70" i="32"/>
  <c r="J70" i="32"/>
  <c r="I70" i="32"/>
  <c r="H70" i="32"/>
  <c r="K70" i="32" s="1"/>
  <c r="M69" i="32"/>
  <c r="L69" i="32"/>
  <c r="J69" i="32"/>
  <c r="I69" i="32"/>
  <c r="H69" i="32"/>
  <c r="K69" i="32" s="1"/>
  <c r="M68" i="32"/>
  <c r="L68" i="32"/>
  <c r="J68" i="32"/>
  <c r="I68" i="32"/>
  <c r="H68" i="32"/>
  <c r="K68" i="32" s="1"/>
  <c r="M67" i="32"/>
  <c r="L67" i="32"/>
  <c r="J67" i="32"/>
  <c r="I67" i="32"/>
  <c r="H67" i="32"/>
  <c r="K67" i="32" s="1"/>
  <c r="M66" i="32"/>
  <c r="L66" i="32"/>
  <c r="J66" i="32"/>
  <c r="I66" i="32"/>
  <c r="H66" i="32"/>
  <c r="K66" i="32" s="1"/>
  <c r="M65" i="32"/>
  <c r="L65" i="32"/>
  <c r="J65" i="32"/>
  <c r="I65" i="32"/>
  <c r="H65" i="32"/>
  <c r="K65" i="32" s="1"/>
  <c r="M64" i="32"/>
  <c r="L64" i="32"/>
  <c r="J64" i="32"/>
  <c r="I64" i="32"/>
  <c r="H64" i="32"/>
  <c r="K64" i="32" s="1"/>
  <c r="M63" i="32"/>
  <c r="L63" i="32"/>
  <c r="J63" i="32"/>
  <c r="I63" i="32"/>
  <c r="H63" i="32"/>
  <c r="K63" i="32" s="1"/>
  <c r="M62" i="32"/>
  <c r="L62" i="32"/>
  <c r="J62" i="32"/>
  <c r="I62" i="32"/>
  <c r="H62" i="32"/>
  <c r="K62" i="32" s="1"/>
  <c r="M61" i="32"/>
  <c r="L61" i="32"/>
  <c r="J61" i="32"/>
  <c r="I61" i="32"/>
  <c r="H61" i="32"/>
  <c r="K61" i="32" s="1"/>
  <c r="M60" i="32"/>
  <c r="L60" i="32"/>
  <c r="J60" i="32"/>
  <c r="I60" i="32"/>
  <c r="H60" i="32"/>
  <c r="K60" i="32" s="1"/>
  <c r="M59" i="32"/>
  <c r="L59" i="32"/>
  <c r="J59" i="32"/>
  <c r="I59" i="32"/>
  <c r="H59" i="32"/>
  <c r="K59" i="32" s="1"/>
  <c r="M58" i="32"/>
  <c r="L58" i="32"/>
  <c r="J58" i="32"/>
  <c r="I58" i="32"/>
  <c r="H58" i="32"/>
  <c r="K58" i="32" s="1"/>
  <c r="M57" i="32"/>
  <c r="L57" i="32"/>
  <c r="J57" i="32"/>
  <c r="I57" i="32"/>
  <c r="H57" i="32"/>
  <c r="K57" i="32" s="1"/>
  <c r="M56" i="32"/>
  <c r="L56" i="32"/>
  <c r="J56" i="32"/>
  <c r="I56" i="32"/>
  <c r="H56" i="32"/>
  <c r="K56" i="32" s="1"/>
  <c r="M55" i="32"/>
  <c r="L55" i="32"/>
  <c r="J55" i="32"/>
  <c r="I55" i="32"/>
  <c r="H55" i="32"/>
  <c r="K55" i="32" s="1"/>
  <c r="M54" i="32"/>
  <c r="L54" i="32"/>
  <c r="J54" i="32"/>
  <c r="I54" i="32"/>
  <c r="H54" i="32"/>
  <c r="K54" i="32" s="1"/>
  <c r="M53" i="32"/>
  <c r="L53" i="32"/>
  <c r="J53" i="32"/>
  <c r="I53" i="32"/>
  <c r="H53" i="32"/>
  <c r="K53" i="32" s="1"/>
  <c r="M52" i="32"/>
  <c r="L52" i="32"/>
  <c r="J52" i="32"/>
  <c r="I52" i="32"/>
  <c r="H52" i="32"/>
  <c r="K52" i="32" s="1"/>
  <c r="M51" i="32"/>
  <c r="L51" i="32"/>
  <c r="J51" i="32"/>
  <c r="I51" i="32"/>
  <c r="H51" i="32"/>
  <c r="K51" i="32" s="1"/>
  <c r="M50" i="32"/>
  <c r="L50" i="32"/>
  <c r="J50" i="32"/>
  <c r="I50" i="32"/>
  <c r="H50" i="32"/>
  <c r="K50" i="32" s="1"/>
  <c r="M49" i="32"/>
  <c r="L49" i="32"/>
  <c r="J49" i="32"/>
  <c r="I49" i="32"/>
  <c r="H49" i="32"/>
  <c r="K49" i="32" s="1"/>
  <c r="M48" i="32"/>
  <c r="L48" i="32"/>
  <c r="J48" i="32"/>
  <c r="I48" i="32"/>
  <c r="H48" i="32"/>
  <c r="K48" i="32" s="1"/>
  <c r="M47" i="32"/>
  <c r="L47" i="32"/>
  <c r="J47" i="32"/>
  <c r="I47" i="32"/>
  <c r="H47" i="32"/>
  <c r="K47" i="32" s="1"/>
  <c r="M46" i="32"/>
  <c r="L46" i="32"/>
  <c r="J46" i="32"/>
  <c r="I46" i="32"/>
  <c r="H46" i="32"/>
  <c r="K46" i="32" s="1"/>
  <c r="M45" i="32"/>
  <c r="L45" i="32"/>
  <c r="J45" i="32"/>
  <c r="I45" i="32"/>
  <c r="H45" i="32"/>
  <c r="K45" i="32" s="1"/>
  <c r="M44" i="32"/>
  <c r="L44" i="32"/>
  <c r="J44" i="32"/>
  <c r="I44" i="32"/>
  <c r="H44" i="32"/>
  <c r="K44" i="32" s="1"/>
  <c r="M43" i="32"/>
  <c r="L43" i="32"/>
  <c r="J43" i="32"/>
  <c r="I43" i="32"/>
  <c r="H43" i="32"/>
  <c r="K43" i="32" s="1"/>
  <c r="M42" i="32"/>
  <c r="L42" i="32"/>
  <c r="J42" i="32"/>
  <c r="I42" i="32"/>
  <c r="H42" i="32"/>
  <c r="K42" i="32" s="1"/>
  <c r="M41" i="32"/>
  <c r="L41" i="32"/>
  <c r="J41" i="32"/>
  <c r="I41" i="32"/>
  <c r="H41" i="32"/>
  <c r="K41" i="32" s="1"/>
  <c r="M40" i="32"/>
  <c r="L40" i="32"/>
  <c r="J40" i="32"/>
  <c r="I40" i="32"/>
  <c r="H40" i="32"/>
  <c r="K40" i="32" s="1"/>
  <c r="M39" i="32"/>
  <c r="L39" i="32"/>
  <c r="J39" i="32"/>
  <c r="I39" i="32"/>
  <c r="H39" i="32"/>
  <c r="K39" i="32" s="1"/>
  <c r="M38" i="32"/>
  <c r="L38" i="32"/>
  <c r="J38" i="32"/>
  <c r="I38" i="32"/>
  <c r="H38" i="32"/>
  <c r="K38" i="32" s="1"/>
  <c r="M37" i="32"/>
  <c r="L37" i="32"/>
  <c r="J37" i="32"/>
  <c r="I37" i="32"/>
  <c r="H37" i="32"/>
  <c r="K37" i="32" s="1"/>
  <c r="M36" i="32"/>
  <c r="L36" i="32"/>
  <c r="J36" i="32"/>
  <c r="I36" i="32"/>
  <c r="H36" i="32"/>
  <c r="K36" i="32" s="1"/>
  <c r="M35" i="32"/>
  <c r="L35" i="32"/>
  <c r="J35" i="32"/>
  <c r="I35" i="32"/>
  <c r="H35" i="32"/>
  <c r="K35" i="32" s="1"/>
  <c r="M34" i="32"/>
  <c r="L34" i="32"/>
  <c r="J34" i="32"/>
  <c r="I34" i="32"/>
  <c r="H34" i="32"/>
  <c r="K34" i="32" s="1"/>
  <c r="M33" i="32"/>
  <c r="L33" i="32"/>
  <c r="J33" i="32"/>
  <c r="I33" i="32"/>
  <c r="H33" i="32"/>
  <c r="K33" i="32" s="1"/>
  <c r="M32" i="32"/>
  <c r="L32" i="32"/>
  <c r="J32" i="32"/>
  <c r="I32" i="32"/>
  <c r="H32" i="32"/>
  <c r="K32" i="32" s="1"/>
  <c r="M31" i="32"/>
  <c r="L31" i="32"/>
  <c r="J31" i="32"/>
  <c r="I31" i="32"/>
  <c r="H31" i="32"/>
  <c r="K31" i="32" s="1"/>
  <c r="M30" i="32"/>
  <c r="L30" i="32"/>
  <c r="J30" i="32"/>
  <c r="I30" i="32"/>
  <c r="H30" i="32"/>
  <c r="K30" i="32" s="1"/>
  <c r="M29" i="32"/>
  <c r="L29" i="32"/>
  <c r="J29" i="32"/>
  <c r="I29" i="32"/>
  <c r="H29" i="32"/>
  <c r="K29" i="32" s="1"/>
  <c r="M28" i="32"/>
  <c r="L28" i="32"/>
  <c r="J28" i="32"/>
  <c r="I28" i="32"/>
  <c r="H28" i="32"/>
  <c r="K28" i="32" s="1"/>
  <c r="M27" i="32"/>
  <c r="L27" i="32"/>
  <c r="J27" i="32"/>
  <c r="I27" i="32"/>
  <c r="H27" i="32"/>
  <c r="K27" i="32" s="1"/>
  <c r="M26" i="32"/>
  <c r="L26" i="32"/>
  <c r="J26" i="32"/>
  <c r="I26" i="32"/>
  <c r="H26" i="32"/>
  <c r="K26" i="32" s="1"/>
  <c r="M25" i="32"/>
  <c r="L25" i="32"/>
  <c r="J25" i="32"/>
  <c r="I25" i="32"/>
  <c r="H25" i="32"/>
  <c r="K25" i="32" s="1"/>
  <c r="M24" i="32"/>
  <c r="L24" i="32"/>
  <c r="J24" i="32"/>
  <c r="I24" i="32"/>
  <c r="H24" i="32"/>
  <c r="K24" i="32" s="1"/>
  <c r="M23" i="32"/>
  <c r="L23" i="32"/>
  <c r="J23" i="32"/>
  <c r="I23" i="32"/>
  <c r="H23" i="32"/>
  <c r="K23" i="32" s="1"/>
  <c r="M22" i="32"/>
  <c r="L22" i="32"/>
  <c r="J22" i="32"/>
  <c r="I22" i="32"/>
  <c r="H22" i="32"/>
  <c r="K22" i="32" s="1"/>
  <c r="M21" i="32"/>
  <c r="L21" i="32"/>
  <c r="J21" i="32"/>
  <c r="I21" i="32"/>
  <c r="H21" i="32"/>
  <c r="K21" i="32" s="1"/>
  <c r="M20" i="32"/>
  <c r="L20" i="32"/>
  <c r="J20" i="32"/>
  <c r="I20" i="32"/>
  <c r="H20" i="32"/>
  <c r="K20" i="32" s="1"/>
  <c r="M19" i="32"/>
  <c r="L19" i="32"/>
  <c r="J19" i="32"/>
  <c r="I19" i="32"/>
  <c r="H19" i="32"/>
  <c r="K19" i="32" s="1"/>
  <c r="M18" i="32"/>
  <c r="L18" i="32"/>
  <c r="J18" i="32"/>
  <c r="I18" i="32"/>
  <c r="H18" i="32"/>
  <c r="K18" i="32" s="1"/>
  <c r="M17" i="32"/>
  <c r="L17" i="32"/>
  <c r="J17" i="32"/>
  <c r="I17" i="32"/>
  <c r="H17" i="32"/>
  <c r="K17" i="32" s="1"/>
  <c r="M16" i="32"/>
  <c r="L16" i="32"/>
  <c r="J16" i="32"/>
  <c r="I16" i="32"/>
  <c r="H16" i="32"/>
  <c r="K16" i="32" s="1"/>
  <c r="M15" i="32"/>
  <c r="L15" i="32"/>
  <c r="J15" i="32"/>
  <c r="I15" i="32"/>
  <c r="H15" i="32"/>
  <c r="K15" i="32" s="1"/>
  <c r="M14" i="32"/>
  <c r="L14" i="32"/>
  <c r="J14" i="32"/>
  <c r="I14" i="32"/>
  <c r="H14" i="32"/>
  <c r="K14" i="32" s="1"/>
  <c r="M13" i="32"/>
  <c r="L13" i="32"/>
  <c r="J13" i="32"/>
  <c r="I13" i="32"/>
  <c r="H13" i="32"/>
  <c r="K13" i="32" s="1"/>
  <c r="M12" i="32"/>
  <c r="L12" i="32"/>
  <c r="J12" i="32"/>
  <c r="I12" i="32"/>
  <c r="H12" i="32"/>
  <c r="K12" i="32" s="1"/>
  <c r="M11" i="32"/>
  <c r="L11" i="32"/>
  <c r="J11" i="32"/>
  <c r="I11" i="32"/>
  <c r="H11" i="32"/>
  <c r="K11" i="32" s="1"/>
  <c r="M10" i="32"/>
  <c r="L10" i="32"/>
  <c r="J10" i="32"/>
  <c r="I10" i="32"/>
  <c r="H10" i="32"/>
  <c r="K10" i="32" s="1"/>
  <c r="M9" i="32"/>
  <c r="L9" i="32"/>
  <c r="J9" i="32"/>
  <c r="I9" i="32"/>
  <c r="H9" i="32"/>
  <c r="K9" i="32" s="1"/>
  <c r="M8" i="32"/>
  <c r="L8" i="32"/>
  <c r="J8" i="32"/>
  <c r="I8" i="32"/>
  <c r="H8" i="32"/>
  <c r="K8" i="32" s="1"/>
  <c r="M7" i="32"/>
  <c r="L7" i="32"/>
  <c r="J7" i="32"/>
  <c r="I7" i="32"/>
  <c r="H7" i="32"/>
  <c r="K7" i="32" s="1"/>
  <c r="M6" i="32"/>
  <c r="L6" i="32"/>
  <c r="J6" i="32"/>
  <c r="I6" i="32"/>
  <c r="H6" i="32"/>
  <c r="K6" i="32" s="1"/>
  <c r="M5" i="32"/>
  <c r="L5" i="32"/>
  <c r="J5" i="32"/>
  <c r="I5" i="32"/>
  <c r="H5" i="32"/>
  <c r="K5" i="32" s="1"/>
  <c r="M86" i="32" l="1"/>
  <c r="I86" i="32"/>
  <c r="L86" i="32"/>
  <c r="G91" i="32"/>
  <c r="G94" i="32" s="1"/>
  <c r="D117" i="32"/>
  <c r="K86" i="32"/>
  <c r="J86" i="32"/>
  <c r="D105" i="31"/>
  <c r="H44" i="31" l="1"/>
  <c r="K44" i="31" s="1"/>
  <c r="I44" i="31"/>
  <c r="J44" i="31"/>
  <c r="L44" i="31"/>
  <c r="M44" i="31"/>
  <c r="D114" i="31"/>
  <c r="D107" i="31"/>
  <c r="J85" i="31"/>
  <c r="I85" i="31"/>
  <c r="H85" i="31"/>
  <c r="J84" i="31"/>
  <c r="I84" i="31"/>
  <c r="H84" i="31"/>
  <c r="J83" i="31"/>
  <c r="I83" i="31"/>
  <c r="H83" i="31"/>
  <c r="J82" i="31"/>
  <c r="I82" i="31"/>
  <c r="H82" i="31"/>
  <c r="J81" i="31"/>
  <c r="I81" i="31"/>
  <c r="H81" i="31"/>
  <c r="J80" i="31"/>
  <c r="I80" i="31"/>
  <c r="H80" i="31"/>
  <c r="J79" i="31"/>
  <c r="I79" i="31"/>
  <c r="H79" i="31"/>
  <c r="J78" i="31"/>
  <c r="I78" i="31"/>
  <c r="H78" i="31"/>
  <c r="M77" i="31"/>
  <c r="L77" i="31"/>
  <c r="J77" i="31"/>
  <c r="I77" i="31"/>
  <c r="H77" i="31"/>
  <c r="K77" i="31" s="1"/>
  <c r="M76" i="31"/>
  <c r="L76" i="31"/>
  <c r="J76" i="31"/>
  <c r="I76" i="31"/>
  <c r="H76" i="31"/>
  <c r="K76" i="31" s="1"/>
  <c r="J75" i="31"/>
  <c r="I75" i="31"/>
  <c r="H75" i="31"/>
  <c r="M74" i="31"/>
  <c r="L74" i="31"/>
  <c r="J74" i="31"/>
  <c r="I74" i="31"/>
  <c r="H74" i="31"/>
  <c r="K74" i="31" s="1"/>
  <c r="M73" i="31"/>
  <c r="L73" i="31"/>
  <c r="J73" i="31"/>
  <c r="I73" i="31"/>
  <c r="H73" i="31"/>
  <c r="K73" i="31" s="1"/>
  <c r="M72" i="31"/>
  <c r="L72" i="31"/>
  <c r="J72" i="31"/>
  <c r="I72" i="31"/>
  <c r="H72" i="31"/>
  <c r="K72" i="31" s="1"/>
  <c r="M71" i="31"/>
  <c r="L71" i="31"/>
  <c r="J71" i="31"/>
  <c r="I71" i="31"/>
  <c r="H71" i="31"/>
  <c r="K71" i="31" s="1"/>
  <c r="M70" i="31"/>
  <c r="L70" i="31"/>
  <c r="J70" i="31"/>
  <c r="I70" i="31"/>
  <c r="H70" i="31"/>
  <c r="K70" i="31" s="1"/>
  <c r="M69" i="31"/>
  <c r="L69" i="31"/>
  <c r="J69" i="31"/>
  <c r="I69" i="31"/>
  <c r="H69" i="31"/>
  <c r="K69" i="31" s="1"/>
  <c r="M68" i="31"/>
  <c r="L68" i="31"/>
  <c r="J68" i="31"/>
  <c r="I68" i="31"/>
  <c r="H68" i="31"/>
  <c r="K68" i="31" s="1"/>
  <c r="M67" i="31"/>
  <c r="L67" i="31"/>
  <c r="J67" i="31"/>
  <c r="I67" i="31"/>
  <c r="H67" i="31"/>
  <c r="K67" i="31" s="1"/>
  <c r="M66" i="31"/>
  <c r="L66" i="31"/>
  <c r="J66" i="31"/>
  <c r="I66" i="31"/>
  <c r="H66" i="31"/>
  <c r="K66" i="31" s="1"/>
  <c r="M65" i="31"/>
  <c r="L65" i="31"/>
  <c r="J65" i="31"/>
  <c r="I65" i="31"/>
  <c r="H65" i="31"/>
  <c r="K65" i="31" s="1"/>
  <c r="M64" i="31"/>
  <c r="L64" i="31"/>
  <c r="J64" i="31"/>
  <c r="I64" i="31"/>
  <c r="H64" i="31"/>
  <c r="K64" i="31" s="1"/>
  <c r="M63" i="31"/>
  <c r="L63" i="31"/>
  <c r="J63" i="31"/>
  <c r="I63" i="31"/>
  <c r="H63" i="31"/>
  <c r="K63" i="31" s="1"/>
  <c r="M62" i="31"/>
  <c r="L62" i="31"/>
  <c r="J62" i="31"/>
  <c r="I62" i="31"/>
  <c r="H62" i="31"/>
  <c r="K62" i="31" s="1"/>
  <c r="M61" i="31"/>
  <c r="L61" i="31"/>
  <c r="J61" i="31"/>
  <c r="I61" i="31"/>
  <c r="H61" i="31"/>
  <c r="K61" i="31" s="1"/>
  <c r="M60" i="31"/>
  <c r="L60" i="31"/>
  <c r="J60" i="31"/>
  <c r="I60" i="31"/>
  <c r="H60" i="31"/>
  <c r="K60" i="31" s="1"/>
  <c r="M59" i="31"/>
  <c r="L59" i="31"/>
  <c r="J59" i="31"/>
  <c r="I59" i="31"/>
  <c r="H59" i="31"/>
  <c r="K59" i="31" s="1"/>
  <c r="M58" i="31"/>
  <c r="L58" i="31"/>
  <c r="J58" i="31"/>
  <c r="I58" i="31"/>
  <c r="H58" i="31"/>
  <c r="K58" i="31" s="1"/>
  <c r="M57" i="31"/>
  <c r="L57" i="31"/>
  <c r="J57" i="31"/>
  <c r="I57" i="31"/>
  <c r="H57" i="31"/>
  <c r="K57" i="31" s="1"/>
  <c r="M56" i="31"/>
  <c r="L56" i="31"/>
  <c r="J56" i="31"/>
  <c r="I56" i="31"/>
  <c r="H56" i="31"/>
  <c r="K56" i="31" s="1"/>
  <c r="M55" i="31"/>
  <c r="L55" i="31"/>
  <c r="J55" i="31"/>
  <c r="I55" i="31"/>
  <c r="H55" i="31"/>
  <c r="K55" i="31" s="1"/>
  <c r="M54" i="31"/>
  <c r="L54" i="31"/>
  <c r="J54" i="31"/>
  <c r="I54" i="31"/>
  <c r="H54" i="31"/>
  <c r="K54" i="31" s="1"/>
  <c r="M53" i="31"/>
  <c r="L53" i="31"/>
  <c r="J53" i="31"/>
  <c r="I53" i="31"/>
  <c r="H53" i="31"/>
  <c r="K53" i="31" s="1"/>
  <c r="M52" i="31"/>
  <c r="L52" i="31"/>
  <c r="J52" i="31"/>
  <c r="I52" i="31"/>
  <c r="H52" i="31"/>
  <c r="K52" i="31" s="1"/>
  <c r="M51" i="31"/>
  <c r="L51" i="31"/>
  <c r="J51" i="31"/>
  <c r="I51" i="31"/>
  <c r="H51" i="31"/>
  <c r="K51" i="31" s="1"/>
  <c r="M50" i="31"/>
  <c r="L50" i="31"/>
  <c r="J50" i="31"/>
  <c r="I50" i="31"/>
  <c r="H50" i="31"/>
  <c r="K50" i="31" s="1"/>
  <c r="M49" i="31"/>
  <c r="L49" i="31"/>
  <c r="J49" i="31"/>
  <c r="I49" i="31"/>
  <c r="H49" i="31"/>
  <c r="K49" i="31" s="1"/>
  <c r="M48" i="31"/>
  <c r="L48" i="31"/>
  <c r="J48" i="31"/>
  <c r="I48" i="31"/>
  <c r="H48" i="31"/>
  <c r="K48" i="31" s="1"/>
  <c r="M47" i="31"/>
  <c r="L47" i="31"/>
  <c r="J47" i="31"/>
  <c r="I47" i="31"/>
  <c r="H47" i="31"/>
  <c r="K47" i="31" s="1"/>
  <c r="M46" i="31"/>
  <c r="L46" i="31"/>
  <c r="J46" i="31"/>
  <c r="I46" i="31"/>
  <c r="H46" i="31"/>
  <c r="K46" i="31" s="1"/>
  <c r="M45" i="31"/>
  <c r="L45" i="31"/>
  <c r="J45" i="31"/>
  <c r="I45" i="31"/>
  <c r="H45" i="31"/>
  <c r="K45" i="31" s="1"/>
  <c r="M43" i="31"/>
  <c r="L43" i="31"/>
  <c r="J43" i="31"/>
  <c r="I43" i="31"/>
  <c r="H43" i="31"/>
  <c r="K43" i="31" s="1"/>
  <c r="M42" i="31"/>
  <c r="L42" i="31"/>
  <c r="J42" i="31"/>
  <c r="I42" i="31"/>
  <c r="H42" i="31"/>
  <c r="K42" i="31" s="1"/>
  <c r="M41" i="31"/>
  <c r="L41" i="31"/>
  <c r="J41" i="31"/>
  <c r="I41" i="31"/>
  <c r="H41" i="31"/>
  <c r="K41" i="31" s="1"/>
  <c r="M40" i="31"/>
  <c r="L40" i="31"/>
  <c r="J40" i="31"/>
  <c r="I40" i="31"/>
  <c r="H40" i="31"/>
  <c r="K40" i="31" s="1"/>
  <c r="M39" i="31"/>
  <c r="L39" i="31"/>
  <c r="J39" i="31"/>
  <c r="I39" i="31"/>
  <c r="H39" i="31"/>
  <c r="K39" i="31" s="1"/>
  <c r="M38" i="31"/>
  <c r="L38" i="31"/>
  <c r="J38" i="31"/>
  <c r="I38" i="31"/>
  <c r="H38" i="31"/>
  <c r="K38" i="31" s="1"/>
  <c r="M37" i="31"/>
  <c r="L37" i="31"/>
  <c r="J37" i="31"/>
  <c r="I37" i="31"/>
  <c r="H37" i="31"/>
  <c r="K37" i="31" s="1"/>
  <c r="M36" i="31"/>
  <c r="L36" i="31"/>
  <c r="J36" i="31"/>
  <c r="I36" i="31"/>
  <c r="H36" i="31"/>
  <c r="K36" i="31" s="1"/>
  <c r="M35" i="31"/>
  <c r="L35" i="31"/>
  <c r="J35" i="31"/>
  <c r="I35" i="31"/>
  <c r="H35" i="31"/>
  <c r="K35" i="31" s="1"/>
  <c r="M34" i="31"/>
  <c r="L34" i="31"/>
  <c r="J34" i="31"/>
  <c r="I34" i="31"/>
  <c r="H34" i="31"/>
  <c r="K34" i="31" s="1"/>
  <c r="M33" i="31"/>
  <c r="L33" i="31"/>
  <c r="J33" i="31"/>
  <c r="I33" i="31"/>
  <c r="H33" i="31"/>
  <c r="K33" i="31" s="1"/>
  <c r="M32" i="31"/>
  <c r="L32" i="31"/>
  <c r="J32" i="31"/>
  <c r="I32" i="31"/>
  <c r="H32" i="31"/>
  <c r="K32" i="31" s="1"/>
  <c r="M31" i="31"/>
  <c r="L31" i="31"/>
  <c r="J31" i="31"/>
  <c r="I31" i="31"/>
  <c r="H31" i="31"/>
  <c r="K31" i="31" s="1"/>
  <c r="M30" i="31"/>
  <c r="L30" i="31"/>
  <c r="J30" i="31"/>
  <c r="I30" i="31"/>
  <c r="H30" i="31"/>
  <c r="K30" i="31" s="1"/>
  <c r="M29" i="31"/>
  <c r="L29" i="31"/>
  <c r="J29" i="31"/>
  <c r="I29" i="31"/>
  <c r="H29" i="31"/>
  <c r="K29" i="31" s="1"/>
  <c r="M28" i="31"/>
  <c r="L28" i="31"/>
  <c r="J28" i="31"/>
  <c r="I28" i="31"/>
  <c r="H28" i="31"/>
  <c r="K28" i="31" s="1"/>
  <c r="M27" i="31"/>
  <c r="L27" i="31"/>
  <c r="J27" i="31"/>
  <c r="I27" i="31"/>
  <c r="H27" i="31"/>
  <c r="K27" i="31" s="1"/>
  <c r="M26" i="31"/>
  <c r="L26" i="31"/>
  <c r="J26" i="31"/>
  <c r="I26" i="31"/>
  <c r="H26" i="31"/>
  <c r="K26" i="31" s="1"/>
  <c r="M25" i="31"/>
  <c r="L25" i="31"/>
  <c r="J25" i="31"/>
  <c r="I25" i="31"/>
  <c r="H25" i="31"/>
  <c r="K25" i="31" s="1"/>
  <c r="M24" i="31"/>
  <c r="L24" i="31"/>
  <c r="J24" i="31"/>
  <c r="I24" i="31"/>
  <c r="H24" i="31"/>
  <c r="K24" i="31" s="1"/>
  <c r="M23" i="31"/>
  <c r="L23" i="31"/>
  <c r="J23" i="31"/>
  <c r="I23" i="31"/>
  <c r="H23" i="31"/>
  <c r="K23" i="31" s="1"/>
  <c r="M22" i="31"/>
  <c r="L22" i="31"/>
  <c r="J22" i="31"/>
  <c r="I22" i="31"/>
  <c r="H22" i="31"/>
  <c r="K22" i="31" s="1"/>
  <c r="M21" i="31"/>
  <c r="L21" i="31"/>
  <c r="J21" i="31"/>
  <c r="I21" i="31"/>
  <c r="H21" i="31"/>
  <c r="K21" i="31" s="1"/>
  <c r="M20" i="31"/>
  <c r="L20" i="31"/>
  <c r="J20" i="31"/>
  <c r="I20" i="31"/>
  <c r="H20" i="31"/>
  <c r="K20" i="31" s="1"/>
  <c r="M19" i="31"/>
  <c r="L19" i="31"/>
  <c r="J19" i="31"/>
  <c r="I19" i="31"/>
  <c r="H19" i="31"/>
  <c r="K19" i="31" s="1"/>
  <c r="M18" i="31"/>
  <c r="L18" i="31"/>
  <c r="J18" i="31"/>
  <c r="I18" i="31"/>
  <c r="H18" i="31"/>
  <c r="K18" i="31" s="1"/>
  <c r="M17" i="31"/>
  <c r="L17" i="31"/>
  <c r="J17" i="31"/>
  <c r="I17" i="31"/>
  <c r="H17" i="31"/>
  <c r="K17" i="31" s="1"/>
  <c r="M16" i="31"/>
  <c r="L16" i="31"/>
  <c r="J16" i="31"/>
  <c r="I16" i="31"/>
  <c r="H16" i="31"/>
  <c r="K16" i="31" s="1"/>
  <c r="M15" i="31"/>
  <c r="L15" i="31"/>
  <c r="J15" i="31"/>
  <c r="I15" i="31"/>
  <c r="H15" i="31"/>
  <c r="K15" i="31" s="1"/>
  <c r="M14" i="31"/>
  <c r="L14" i="31"/>
  <c r="J14" i="31"/>
  <c r="I14" i="31"/>
  <c r="H14" i="31"/>
  <c r="K14" i="31" s="1"/>
  <c r="M13" i="31"/>
  <c r="L13" i="31"/>
  <c r="J13" i="31"/>
  <c r="I13" i="31"/>
  <c r="H13" i="31"/>
  <c r="K13" i="31" s="1"/>
  <c r="M12" i="31"/>
  <c r="L12" i="31"/>
  <c r="J12" i="31"/>
  <c r="I12" i="31"/>
  <c r="H12" i="31"/>
  <c r="K12" i="31" s="1"/>
  <c r="M11" i="31"/>
  <c r="L11" i="31"/>
  <c r="J11" i="31"/>
  <c r="I11" i="31"/>
  <c r="H11" i="31"/>
  <c r="K11" i="31" s="1"/>
  <c r="M10" i="31"/>
  <c r="L10" i="31"/>
  <c r="J10" i="31"/>
  <c r="I10" i="31"/>
  <c r="H10" i="31"/>
  <c r="K10" i="31" s="1"/>
  <c r="M9" i="31"/>
  <c r="L9" i="31"/>
  <c r="J9" i="31"/>
  <c r="I9" i="31"/>
  <c r="H9" i="31"/>
  <c r="K9" i="31" s="1"/>
  <c r="M8" i="31"/>
  <c r="L8" i="31"/>
  <c r="J8" i="31"/>
  <c r="I8" i="31"/>
  <c r="H8" i="31"/>
  <c r="K8" i="31" s="1"/>
  <c r="M7" i="31"/>
  <c r="L7" i="31"/>
  <c r="J7" i="31"/>
  <c r="I7" i="31"/>
  <c r="H7" i="31"/>
  <c r="K7" i="31" s="1"/>
  <c r="M6" i="31"/>
  <c r="L6" i="31"/>
  <c r="J6" i="31"/>
  <c r="I6" i="31"/>
  <c r="H6" i="31"/>
  <c r="K6" i="31" s="1"/>
  <c r="M5" i="31"/>
  <c r="L5" i="31"/>
  <c r="J5" i="31"/>
  <c r="I5" i="31"/>
  <c r="H5" i="31"/>
  <c r="K5" i="31" s="1"/>
  <c r="D116" i="31" l="1"/>
  <c r="G91" i="31"/>
  <c r="G94" i="31" s="1"/>
  <c r="M86" i="31"/>
  <c r="K86" i="31"/>
  <c r="I86" i="31"/>
  <c r="L86" i="31"/>
  <c r="J86" i="31"/>
  <c r="D111" i="30" l="1"/>
  <c r="D103" i="30"/>
  <c r="D105" i="30" s="1"/>
  <c r="J84" i="30"/>
  <c r="I84" i="30"/>
  <c r="H84" i="30"/>
  <c r="J83" i="30"/>
  <c r="I83" i="30"/>
  <c r="H83" i="30"/>
  <c r="J82" i="30"/>
  <c r="I82" i="30"/>
  <c r="H82" i="30"/>
  <c r="J81" i="30"/>
  <c r="I81" i="30"/>
  <c r="H81" i="30"/>
  <c r="J80" i="30"/>
  <c r="I80" i="30"/>
  <c r="H80" i="30"/>
  <c r="J79" i="30"/>
  <c r="I79" i="30"/>
  <c r="H79" i="30"/>
  <c r="J78" i="30"/>
  <c r="I78" i="30"/>
  <c r="H78" i="30"/>
  <c r="J77" i="30"/>
  <c r="I77" i="30"/>
  <c r="H77" i="30"/>
  <c r="M76" i="30"/>
  <c r="L76" i="30"/>
  <c r="J76" i="30"/>
  <c r="I76" i="30"/>
  <c r="H76" i="30"/>
  <c r="K76" i="30" s="1"/>
  <c r="M75" i="30"/>
  <c r="L75" i="30"/>
  <c r="J75" i="30"/>
  <c r="I75" i="30"/>
  <c r="H75" i="30"/>
  <c r="K75" i="30" s="1"/>
  <c r="J74" i="30"/>
  <c r="I74" i="30"/>
  <c r="H74" i="30"/>
  <c r="M73" i="30"/>
  <c r="L73" i="30"/>
  <c r="J73" i="30"/>
  <c r="I73" i="30"/>
  <c r="H73" i="30"/>
  <c r="K73" i="30" s="1"/>
  <c r="M72" i="30"/>
  <c r="L72" i="30"/>
  <c r="J72" i="30"/>
  <c r="I72" i="30"/>
  <c r="H72" i="30"/>
  <c r="K72" i="30" s="1"/>
  <c r="M71" i="30"/>
  <c r="L71" i="30"/>
  <c r="J71" i="30"/>
  <c r="I71" i="30"/>
  <c r="H71" i="30"/>
  <c r="K71" i="30" s="1"/>
  <c r="M70" i="30"/>
  <c r="L70" i="30"/>
  <c r="J70" i="30"/>
  <c r="I70" i="30"/>
  <c r="H70" i="30"/>
  <c r="K70" i="30" s="1"/>
  <c r="M69" i="30"/>
  <c r="L69" i="30"/>
  <c r="J69" i="30"/>
  <c r="I69" i="30"/>
  <c r="H69" i="30"/>
  <c r="K69" i="30" s="1"/>
  <c r="M68" i="30"/>
  <c r="L68" i="30"/>
  <c r="J68" i="30"/>
  <c r="I68" i="30"/>
  <c r="H68" i="30"/>
  <c r="K68" i="30" s="1"/>
  <c r="M67" i="30"/>
  <c r="L67" i="30"/>
  <c r="J67" i="30"/>
  <c r="I67" i="30"/>
  <c r="H67" i="30"/>
  <c r="K67" i="30" s="1"/>
  <c r="M66" i="30"/>
  <c r="L66" i="30"/>
  <c r="J66" i="30"/>
  <c r="I66" i="30"/>
  <c r="H66" i="30"/>
  <c r="K66" i="30" s="1"/>
  <c r="M65" i="30"/>
  <c r="L65" i="30"/>
  <c r="J65" i="30"/>
  <c r="I65" i="30"/>
  <c r="H65" i="30"/>
  <c r="K65" i="30" s="1"/>
  <c r="M64" i="30"/>
  <c r="L64" i="30"/>
  <c r="J64" i="30"/>
  <c r="I64" i="30"/>
  <c r="H64" i="30"/>
  <c r="K64" i="30" s="1"/>
  <c r="M63" i="30"/>
  <c r="L63" i="30"/>
  <c r="J63" i="30"/>
  <c r="I63" i="30"/>
  <c r="H63" i="30"/>
  <c r="K63" i="30" s="1"/>
  <c r="M62" i="30"/>
  <c r="L62" i="30"/>
  <c r="J62" i="30"/>
  <c r="I62" i="30"/>
  <c r="H62" i="30"/>
  <c r="K62" i="30" s="1"/>
  <c r="M61" i="30"/>
  <c r="L61" i="30"/>
  <c r="J61" i="30"/>
  <c r="I61" i="30"/>
  <c r="H61" i="30"/>
  <c r="K61" i="30" s="1"/>
  <c r="M60" i="30"/>
  <c r="L60" i="30"/>
  <c r="J60" i="30"/>
  <c r="I60" i="30"/>
  <c r="H60" i="30"/>
  <c r="K60" i="30" s="1"/>
  <c r="M59" i="30"/>
  <c r="L59" i="30"/>
  <c r="J59" i="30"/>
  <c r="I59" i="30"/>
  <c r="H59" i="30"/>
  <c r="K59" i="30" s="1"/>
  <c r="M58" i="30"/>
  <c r="L58" i="30"/>
  <c r="J58" i="30"/>
  <c r="I58" i="30"/>
  <c r="H58" i="30"/>
  <c r="K58" i="30" s="1"/>
  <c r="M57" i="30"/>
  <c r="L57" i="30"/>
  <c r="J57" i="30"/>
  <c r="I57" i="30"/>
  <c r="H57" i="30"/>
  <c r="K57" i="30" s="1"/>
  <c r="M56" i="30"/>
  <c r="L56" i="30"/>
  <c r="J56" i="30"/>
  <c r="I56" i="30"/>
  <c r="H56" i="30"/>
  <c r="K56" i="30" s="1"/>
  <c r="M55" i="30"/>
  <c r="L55" i="30"/>
  <c r="J55" i="30"/>
  <c r="I55" i="30"/>
  <c r="H55" i="30"/>
  <c r="K55" i="30" s="1"/>
  <c r="M54" i="30"/>
  <c r="L54" i="30"/>
  <c r="J54" i="30"/>
  <c r="I54" i="30"/>
  <c r="H54" i="30"/>
  <c r="K54" i="30" s="1"/>
  <c r="M53" i="30"/>
  <c r="L53" i="30"/>
  <c r="J53" i="30"/>
  <c r="I53" i="30"/>
  <c r="H53" i="30"/>
  <c r="K53" i="30" s="1"/>
  <c r="M52" i="30"/>
  <c r="L52" i="30"/>
  <c r="J52" i="30"/>
  <c r="I52" i="30"/>
  <c r="H52" i="30"/>
  <c r="K52" i="30" s="1"/>
  <c r="M51" i="30"/>
  <c r="L51" i="30"/>
  <c r="J51" i="30"/>
  <c r="I51" i="30"/>
  <c r="H51" i="30"/>
  <c r="K51" i="30" s="1"/>
  <c r="M50" i="30"/>
  <c r="L50" i="30"/>
  <c r="J50" i="30"/>
  <c r="I50" i="30"/>
  <c r="H50" i="30"/>
  <c r="K50" i="30" s="1"/>
  <c r="M49" i="30"/>
  <c r="L49" i="30"/>
  <c r="J49" i="30"/>
  <c r="I49" i="30"/>
  <c r="H49" i="30"/>
  <c r="K49" i="30" s="1"/>
  <c r="M48" i="30"/>
  <c r="L48" i="30"/>
  <c r="J48" i="30"/>
  <c r="I48" i="30"/>
  <c r="H48" i="30"/>
  <c r="K48" i="30" s="1"/>
  <c r="M47" i="30"/>
  <c r="L47" i="30"/>
  <c r="J47" i="30"/>
  <c r="I47" i="30"/>
  <c r="H47" i="30"/>
  <c r="K47" i="30" s="1"/>
  <c r="M46" i="30"/>
  <c r="L46" i="30"/>
  <c r="J46" i="30"/>
  <c r="I46" i="30"/>
  <c r="H46" i="30"/>
  <c r="K46" i="30" s="1"/>
  <c r="M45" i="30"/>
  <c r="L45" i="30"/>
  <c r="J45" i="30"/>
  <c r="I45" i="30"/>
  <c r="H45" i="30"/>
  <c r="K45" i="30" s="1"/>
  <c r="M44" i="30"/>
  <c r="L44" i="30"/>
  <c r="J44" i="30"/>
  <c r="I44" i="30"/>
  <c r="H44" i="30"/>
  <c r="K44" i="30" s="1"/>
  <c r="M43" i="30"/>
  <c r="L43" i="30"/>
  <c r="J43" i="30"/>
  <c r="I43" i="30"/>
  <c r="H43" i="30"/>
  <c r="K43" i="30" s="1"/>
  <c r="M42" i="30"/>
  <c r="L42" i="30"/>
  <c r="J42" i="30"/>
  <c r="I42" i="30"/>
  <c r="H42" i="30"/>
  <c r="K42" i="30" s="1"/>
  <c r="M41" i="30"/>
  <c r="L41" i="30"/>
  <c r="J41" i="30"/>
  <c r="I41" i="30"/>
  <c r="H41" i="30"/>
  <c r="K41" i="30" s="1"/>
  <c r="M40" i="30"/>
  <c r="L40" i="30"/>
  <c r="J40" i="30"/>
  <c r="I40" i="30"/>
  <c r="H40" i="30"/>
  <c r="K40" i="30" s="1"/>
  <c r="M39" i="30"/>
  <c r="L39" i="30"/>
  <c r="J39" i="30"/>
  <c r="I39" i="30"/>
  <c r="H39" i="30"/>
  <c r="K39" i="30" s="1"/>
  <c r="M38" i="30"/>
  <c r="L38" i="30"/>
  <c r="J38" i="30"/>
  <c r="I38" i="30"/>
  <c r="H38" i="30"/>
  <c r="K38" i="30" s="1"/>
  <c r="M37" i="30"/>
  <c r="L37" i="30"/>
  <c r="J37" i="30"/>
  <c r="I37" i="30"/>
  <c r="H37" i="30"/>
  <c r="K37" i="30" s="1"/>
  <c r="M36" i="30"/>
  <c r="L36" i="30"/>
  <c r="J36" i="30"/>
  <c r="I36" i="30"/>
  <c r="H36" i="30"/>
  <c r="K36" i="30" s="1"/>
  <c r="M35" i="30"/>
  <c r="L35" i="30"/>
  <c r="J35" i="30"/>
  <c r="I35" i="30"/>
  <c r="H35" i="30"/>
  <c r="K35" i="30" s="1"/>
  <c r="M34" i="30"/>
  <c r="L34" i="30"/>
  <c r="J34" i="30"/>
  <c r="I34" i="30"/>
  <c r="H34" i="30"/>
  <c r="K34" i="30" s="1"/>
  <c r="M33" i="30"/>
  <c r="L33" i="30"/>
  <c r="J33" i="30"/>
  <c r="I33" i="30"/>
  <c r="H33" i="30"/>
  <c r="K33" i="30" s="1"/>
  <c r="M32" i="30"/>
  <c r="L32" i="30"/>
  <c r="J32" i="30"/>
  <c r="I32" i="30"/>
  <c r="H32" i="30"/>
  <c r="K32" i="30" s="1"/>
  <c r="M31" i="30"/>
  <c r="L31" i="30"/>
  <c r="J31" i="30"/>
  <c r="I31" i="30"/>
  <c r="H31" i="30"/>
  <c r="K31" i="30" s="1"/>
  <c r="M30" i="30"/>
  <c r="L30" i="30"/>
  <c r="J30" i="30"/>
  <c r="I30" i="30"/>
  <c r="H30" i="30"/>
  <c r="K30" i="30" s="1"/>
  <c r="M29" i="30"/>
  <c r="L29" i="30"/>
  <c r="J29" i="30"/>
  <c r="I29" i="30"/>
  <c r="H29" i="30"/>
  <c r="K29" i="30" s="1"/>
  <c r="M28" i="30"/>
  <c r="L28" i="30"/>
  <c r="J28" i="30"/>
  <c r="I28" i="30"/>
  <c r="H28" i="30"/>
  <c r="K28" i="30" s="1"/>
  <c r="M27" i="30"/>
  <c r="L27" i="30"/>
  <c r="J27" i="30"/>
  <c r="I27" i="30"/>
  <c r="H27" i="30"/>
  <c r="K27" i="30" s="1"/>
  <c r="M26" i="30"/>
  <c r="L26" i="30"/>
  <c r="J26" i="30"/>
  <c r="I26" i="30"/>
  <c r="H26" i="30"/>
  <c r="K26" i="30" s="1"/>
  <c r="M25" i="30"/>
  <c r="L25" i="30"/>
  <c r="J25" i="30"/>
  <c r="I25" i="30"/>
  <c r="H25" i="30"/>
  <c r="K25" i="30" s="1"/>
  <c r="M24" i="30"/>
  <c r="L24" i="30"/>
  <c r="J24" i="30"/>
  <c r="I24" i="30"/>
  <c r="H24" i="30"/>
  <c r="K24" i="30" s="1"/>
  <c r="M23" i="30"/>
  <c r="L23" i="30"/>
  <c r="J23" i="30"/>
  <c r="I23" i="30"/>
  <c r="H23" i="30"/>
  <c r="K23" i="30" s="1"/>
  <c r="M22" i="30"/>
  <c r="L22" i="30"/>
  <c r="J22" i="30"/>
  <c r="I22" i="30"/>
  <c r="H22" i="30"/>
  <c r="K22" i="30" s="1"/>
  <c r="M21" i="30"/>
  <c r="L21" i="30"/>
  <c r="J21" i="30"/>
  <c r="I21" i="30"/>
  <c r="H21" i="30"/>
  <c r="K21" i="30" s="1"/>
  <c r="M20" i="30"/>
  <c r="L20" i="30"/>
  <c r="J20" i="30"/>
  <c r="I20" i="30"/>
  <c r="H20" i="30"/>
  <c r="K20" i="30" s="1"/>
  <c r="M19" i="30"/>
  <c r="L19" i="30"/>
  <c r="J19" i="30"/>
  <c r="I19" i="30"/>
  <c r="H19" i="30"/>
  <c r="K19" i="30" s="1"/>
  <c r="M18" i="30"/>
  <c r="L18" i="30"/>
  <c r="J18" i="30"/>
  <c r="I18" i="30"/>
  <c r="H18" i="30"/>
  <c r="K18" i="30" s="1"/>
  <c r="M17" i="30"/>
  <c r="L17" i="30"/>
  <c r="J17" i="30"/>
  <c r="I17" i="30"/>
  <c r="H17" i="30"/>
  <c r="K17" i="30" s="1"/>
  <c r="M16" i="30"/>
  <c r="L16" i="30"/>
  <c r="J16" i="30"/>
  <c r="I16" i="30"/>
  <c r="H16" i="30"/>
  <c r="K16" i="30" s="1"/>
  <c r="M15" i="30"/>
  <c r="L15" i="30"/>
  <c r="J15" i="30"/>
  <c r="I15" i="30"/>
  <c r="H15" i="30"/>
  <c r="K15" i="30" s="1"/>
  <c r="M14" i="30"/>
  <c r="L14" i="30"/>
  <c r="J14" i="30"/>
  <c r="I14" i="30"/>
  <c r="H14" i="30"/>
  <c r="K14" i="30" s="1"/>
  <c r="M13" i="30"/>
  <c r="L13" i="30"/>
  <c r="J13" i="30"/>
  <c r="I13" i="30"/>
  <c r="H13" i="30"/>
  <c r="K13" i="30" s="1"/>
  <c r="M12" i="30"/>
  <c r="L12" i="30"/>
  <c r="J12" i="30"/>
  <c r="I12" i="30"/>
  <c r="H12" i="30"/>
  <c r="K12" i="30" s="1"/>
  <c r="M11" i="30"/>
  <c r="L11" i="30"/>
  <c r="J11" i="30"/>
  <c r="I11" i="30"/>
  <c r="H11" i="30"/>
  <c r="K11" i="30" s="1"/>
  <c r="M10" i="30"/>
  <c r="L10" i="30"/>
  <c r="J10" i="30"/>
  <c r="I10" i="30"/>
  <c r="H10" i="30"/>
  <c r="K10" i="30" s="1"/>
  <c r="M9" i="30"/>
  <c r="L9" i="30"/>
  <c r="J9" i="30"/>
  <c r="I9" i="30"/>
  <c r="H9" i="30"/>
  <c r="K9" i="30" s="1"/>
  <c r="M8" i="30"/>
  <c r="L8" i="30"/>
  <c r="J8" i="30"/>
  <c r="I8" i="30"/>
  <c r="H8" i="30"/>
  <c r="K8" i="30" s="1"/>
  <c r="M7" i="30"/>
  <c r="L7" i="30"/>
  <c r="J7" i="30"/>
  <c r="I7" i="30"/>
  <c r="H7" i="30"/>
  <c r="K7" i="30" s="1"/>
  <c r="M6" i="30"/>
  <c r="L6" i="30"/>
  <c r="J6" i="30"/>
  <c r="I6" i="30"/>
  <c r="H6" i="30"/>
  <c r="K6" i="30" s="1"/>
  <c r="M5" i="30"/>
  <c r="L5" i="30"/>
  <c r="J5" i="30"/>
  <c r="I5" i="30"/>
  <c r="H5" i="30"/>
  <c r="K5" i="30" s="1"/>
  <c r="D113" i="30" l="1"/>
  <c r="L85" i="30"/>
  <c r="G90" i="30"/>
  <c r="G93" i="30" s="1"/>
  <c r="M85" i="30"/>
  <c r="I85" i="30"/>
  <c r="K85" i="30"/>
  <c r="J85" i="30"/>
  <c r="C124" i="29"/>
  <c r="D105" i="29" l="1"/>
  <c r="D107" i="29" s="1"/>
  <c r="D113" i="29"/>
  <c r="J84" i="29"/>
  <c r="I84" i="29"/>
  <c r="H84" i="29"/>
  <c r="J83" i="29"/>
  <c r="I83" i="29"/>
  <c r="H83" i="29"/>
  <c r="J82" i="29"/>
  <c r="I82" i="29"/>
  <c r="H82" i="29"/>
  <c r="J81" i="29"/>
  <c r="I81" i="29"/>
  <c r="H81" i="29"/>
  <c r="J80" i="29"/>
  <c r="I80" i="29"/>
  <c r="H80" i="29"/>
  <c r="J79" i="29"/>
  <c r="I79" i="29"/>
  <c r="H79" i="29"/>
  <c r="J78" i="29"/>
  <c r="I78" i="29"/>
  <c r="H78" i="29"/>
  <c r="J77" i="29"/>
  <c r="I77" i="29"/>
  <c r="H77" i="29"/>
  <c r="M76" i="29"/>
  <c r="L76" i="29"/>
  <c r="J76" i="29"/>
  <c r="I76" i="29"/>
  <c r="H76" i="29"/>
  <c r="K76" i="29" s="1"/>
  <c r="M75" i="29"/>
  <c r="L75" i="29"/>
  <c r="J75" i="29"/>
  <c r="I75" i="29"/>
  <c r="H75" i="29"/>
  <c r="K75" i="29" s="1"/>
  <c r="J74" i="29"/>
  <c r="I74" i="29"/>
  <c r="H74" i="29"/>
  <c r="M73" i="29"/>
  <c r="L73" i="29"/>
  <c r="J73" i="29"/>
  <c r="I73" i="29"/>
  <c r="H73" i="29"/>
  <c r="K73" i="29" s="1"/>
  <c r="M72" i="29"/>
  <c r="L72" i="29"/>
  <c r="J72" i="29"/>
  <c r="I72" i="29"/>
  <c r="H72" i="29"/>
  <c r="K72" i="29" s="1"/>
  <c r="M71" i="29"/>
  <c r="L71" i="29"/>
  <c r="J71" i="29"/>
  <c r="I71" i="29"/>
  <c r="H71" i="29"/>
  <c r="K71" i="29" s="1"/>
  <c r="M70" i="29"/>
  <c r="L70" i="29"/>
  <c r="J70" i="29"/>
  <c r="I70" i="29"/>
  <c r="H70" i="29"/>
  <c r="K70" i="29" s="1"/>
  <c r="M69" i="29"/>
  <c r="L69" i="29"/>
  <c r="J69" i="29"/>
  <c r="I69" i="29"/>
  <c r="H69" i="29"/>
  <c r="K69" i="29" s="1"/>
  <c r="M68" i="29"/>
  <c r="L68" i="29"/>
  <c r="J68" i="29"/>
  <c r="I68" i="29"/>
  <c r="H68" i="29"/>
  <c r="K68" i="29" s="1"/>
  <c r="M67" i="29"/>
  <c r="L67" i="29"/>
  <c r="J67" i="29"/>
  <c r="I67" i="29"/>
  <c r="H67" i="29"/>
  <c r="K67" i="29" s="1"/>
  <c r="M66" i="29"/>
  <c r="L66" i="29"/>
  <c r="J66" i="29"/>
  <c r="I66" i="29"/>
  <c r="H66" i="29"/>
  <c r="K66" i="29" s="1"/>
  <c r="M65" i="29"/>
  <c r="L65" i="29"/>
  <c r="J65" i="29"/>
  <c r="I65" i="29"/>
  <c r="H65" i="29"/>
  <c r="K65" i="29" s="1"/>
  <c r="M64" i="29"/>
  <c r="L64" i="29"/>
  <c r="J64" i="29"/>
  <c r="I64" i="29"/>
  <c r="H64" i="29"/>
  <c r="K64" i="29" s="1"/>
  <c r="M63" i="29"/>
  <c r="L63" i="29"/>
  <c r="J63" i="29"/>
  <c r="I63" i="29"/>
  <c r="H63" i="29"/>
  <c r="K63" i="29" s="1"/>
  <c r="M62" i="29"/>
  <c r="L62" i="29"/>
  <c r="J62" i="29"/>
  <c r="I62" i="29"/>
  <c r="H62" i="29"/>
  <c r="K62" i="29" s="1"/>
  <c r="M61" i="29"/>
  <c r="L61" i="29"/>
  <c r="J61" i="29"/>
  <c r="I61" i="29"/>
  <c r="H61" i="29"/>
  <c r="K61" i="29" s="1"/>
  <c r="M60" i="29"/>
  <c r="L60" i="29"/>
  <c r="J60" i="29"/>
  <c r="I60" i="29"/>
  <c r="H60" i="29"/>
  <c r="K60" i="29" s="1"/>
  <c r="M59" i="29"/>
  <c r="L59" i="29"/>
  <c r="J59" i="29"/>
  <c r="I59" i="29"/>
  <c r="H59" i="29"/>
  <c r="K59" i="29" s="1"/>
  <c r="M58" i="29"/>
  <c r="L58" i="29"/>
  <c r="J58" i="29"/>
  <c r="I58" i="29"/>
  <c r="H58" i="29"/>
  <c r="K58" i="29" s="1"/>
  <c r="M57" i="29"/>
  <c r="L57" i="29"/>
  <c r="J57" i="29"/>
  <c r="I57" i="29"/>
  <c r="H57" i="29"/>
  <c r="K57" i="29" s="1"/>
  <c r="M56" i="29"/>
  <c r="L56" i="29"/>
  <c r="J56" i="29"/>
  <c r="I56" i="29"/>
  <c r="H56" i="29"/>
  <c r="K56" i="29" s="1"/>
  <c r="M55" i="29"/>
  <c r="L55" i="29"/>
  <c r="J55" i="29"/>
  <c r="I55" i="29"/>
  <c r="H55" i="29"/>
  <c r="K55" i="29" s="1"/>
  <c r="M54" i="29"/>
  <c r="L54" i="29"/>
  <c r="J54" i="29"/>
  <c r="I54" i="29"/>
  <c r="H54" i="29"/>
  <c r="K54" i="29" s="1"/>
  <c r="M53" i="29"/>
  <c r="L53" i="29"/>
  <c r="J53" i="29"/>
  <c r="I53" i="29"/>
  <c r="H53" i="29"/>
  <c r="K53" i="29" s="1"/>
  <c r="M52" i="29"/>
  <c r="L52" i="29"/>
  <c r="J52" i="29"/>
  <c r="I52" i="29"/>
  <c r="H52" i="29"/>
  <c r="K52" i="29" s="1"/>
  <c r="M51" i="29"/>
  <c r="L51" i="29"/>
  <c r="J51" i="29"/>
  <c r="I51" i="29"/>
  <c r="H51" i="29"/>
  <c r="K51" i="29" s="1"/>
  <c r="M50" i="29"/>
  <c r="L50" i="29"/>
  <c r="J50" i="29"/>
  <c r="I50" i="29"/>
  <c r="H50" i="29"/>
  <c r="K50" i="29" s="1"/>
  <c r="M49" i="29"/>
  <c r="L49" i="29"/>
  <c r="J49" i="29"/>
  <c r="I49" i="29"/>
  <c r="H49" i="29"/>
  <c r="K49" i="29" s="1"/>
  <c r="M48" i="29"/>
  <c r="L48" i="29"/>
  <c r="J48" i="29"/>
  <c r="I48" i="29"/>
  <c r="H48" i="29"/>
  <c r="K48" i="29" s="1"/>
  <c r="M47" i="29"/>
  <c r="L47" i="29"/>
  <c r="J47" i="29"/>
  <c r="I47" i="29"/>
  <c r="H47" i="29"/>
  <c r="K47" i="29" s="1"/>
  <c r="M46" i="29"/>
  <c r="L46" i="29"/>
  <c r="J46" i="29"/>
  <c r="I46" i="29"/>
  <c r="H46" i="29"/>
  <c r="K46" i="29" s="1"/>
  <c r="M45" i="29"/>
  <c r="L45" i="29"/>
  <c r="J45" i="29"/>
  <c r="I45" i="29"/>
  <c r="H45" i="29"/>
  <c r="K45" i="29" s="1"/>
  <c r="M44" i="29"/>
  <c r="L44" i="29"/>
  <c r="J44" i="29"/>
  <c r="I44" i="29"/>
  <c r="H44" i="29"/>
  <c r="K44" i="29" s="1"/>
  <c r="M43" i="29"/>
  <c r="L43" i="29"/>
  <c r="J43" i="29"/>
  <c r="I43" i="29"/>
  <c r="H43" i="29"/>
  <c r="K43" i="29" s="1"/>
  <c r="M42" i="29"/>
  <c r="L42" i="29"/>
  <c r="J42" i="29"/>
  <c r="I42" i="29"/>
  <c r="H42" i="29"/>
  <c r="K42" i="29" s="1"/>
  <c r="M41" i="29"/>
  <c r="L41" i="29"/>
  <c r="J41" i="29"/>
  <c r="I41" i="29"/>
  <c r="H41" i="29"/>
  <c r="K41" i="29" s="1"/>
  <c r="M40" i="29"/>
  <c r="L40" i="29"/>
  <c r="J40" i="29"/>
  <c r="I40" i="29"/>
  <c r="H40" i="29"/>
  <c r="K40" i="29" s="1"/>
  <c r="M39" i="29"/>
  <c r="L39" i="29"/>
  <c r="J39" i="29"/>
  <c r="I39" i="29"/>
  <c r="H39" i="29"/>
  <c r="K39" i="29" s="1"/>
  <c r="M38" i="29"/>
  <c r="L38" i="29"/>
  <c r="J38" i="29"/>
  <c r="I38" i="29"/>
  <c r="H38" i="29"/>
  <c r="K38" i="29" s="1"/>
  <c r="M37" i="29"/>
  <c r="L37" i="29"/>
  <c r="J37" i="29"/>
  <c r="I37" i="29"/>
  <c r="H37" i="29"/>
  <c r="K37" i="29" s="1"/>
  <c r="M36" i="29"/>
  <c r="L36" i="29"/>
  <c r="J36" i="29"/>
  <c r="I36" i="29"/>
  <c r="H36" i="29"/>
  <c r="K36" i="29" s="1"/>
  <c r="M35" i="29"/>
  <c r="L35" i="29"/>
  <c r="J35" i="29"/>
  <c r="I35" i="29"/>
  <c r="H35" i="29"/>
  <c r="K35" i="29" s="1"/>
  <c r="M34" i="29"/>
  <c r="L34" i="29"/>
  <c r="J34" i="29"/>
  <c r="I34" i="29"/>
  <c r="H34" i="29"/>
  <c r="K34" i="29" s="1"/>
  <c r="M33" i="29"/>
  <c r="L33" i="29"/>
  <c r="J33" i="29"/>
  <c r="I33" i="29"/>
  <c r="H33" i="29"/>
  <c r="K33" i="29" s="1"/>
  <c r="M32" i="29"/>
  <c r="L32" i="29"/>
  <c r="J32" i="29"/>
  <c r="I32" i="29"/>
  <c r="H32" i="29"/>
  <c r="K32" i="29" s="1"/>
  <c r="M31" i="29"/>
  <c r="L31" i="29"/>
  <c r="J31" i="29"/>
  <c r="I31" i="29"/>
  <c r="H31" i="29"/>
  <c r="K31" i="29" s="1"/>
  <c r="M30" i="29"/>
  <c r="L30" i="29"/>
  <c r="J30" i="29"/>
  <c r="I30" i="29"/>
  <c r="H30" i="29"/>
  <c r="K30" i="29" s="1"/>
  <c r="M29" i="29"/>
  <c r="L29" i="29"/>
  <c r="J29" i="29"/>
  <c r="I29" i="29"/>
  <c r="H29" i="29"/>
  <c r="K29" i="29" s="1"/>
  <c r="M28" i="29"/>
  <c r="L28" i="29"/>
  <c r="J28" i="29"/>
  <c r="I28" i="29"/>
  <c r="H28" i="29"/>
  <c r="K28" i="29" s="1"/>
  <c r="M27" i="29"/>
  <c r="L27" i="29"/>
  <c r="J27" i="29"/>
  <c r="I27" i="29"/>
  <c r="H27" i="29"/>
  <c r="K27" i="29" s="1"/>
  <c r="M26" i="29"/>
  <c r="L26" i="29"/>
  <c r="J26" i="29"/>
  <c r="I26" i="29"/>
  <c r="H26" i="29"/>
  <c r="K26" i="29" s="1"/>
  <c r="M25" i="29"/>
  <c r="L25" i="29"/>
  <c r="J25" i="29"/>
  <c r="I25" i="29"/>
  <c r="H25" i="29"/>
  <c r="K25" i="29" s="1"/>
  <c r="M24" i="29"/>
  <c r="L24" i="29"/>
  <c r="J24" i="29"/>
  <c r="I24" i="29"/>
  <c r="H24" i="29"/>
  <c r="K24" i="29" s="1"/>
  <c r="M23" i="29"/>
  <c r="L23" i="29"/>
  <c r="J23" i="29"/>
  <c r="I23" i="29"/>
  <c r="H23" i="29"/>
  <c r="K23" i="29" s="1"/>
  <c r="M22" i="29"/>
  <c r="L22" i="29"/>
  <c r="J22" i="29"/>
  <c r="I22" i="29"/>
  <c r="H22" i="29"/>
  <c r="K22" i="29" s="1"/>
  <c r="M21" i="29"/>
  <c r="L21" i="29"/>
  <c r="J21" i="29"/>
  <c r="I21" i="29"/>
  <c r="H21" i="29"/>
  <c r="K21" i="29" s="1"/>
  <c r="M20" i="29"/>
  <c r="L20" i="29"/>
  <c r="J20" i="29"/>
  <c r="I20" i="29"/>
  <c r="H20" i="29"/>
  <c r="K20" i="29" s="1"/>
  <c r="M19" i="29"/>
  <c r="L19" i="29"/>
  <c r="J19" i="29"/>
  <c r="I19" i="29"/>
  <c r="H19" i="29"/>
  <c r="K19" i="29" s="1"/>
  <c r="M18" i="29"/>
  <c r="L18" i="29"/>
  <c r="J18" i="29"/>
  <c r="I18" i="29"/>
  <c r="H18" i="29"/>
  <c r="K18" i="29" s="1"/>
  <c r="M17" i="29"/>
  <c r="L17" i="29"/>
  <c r="J17" i="29"/>
  <c r="I17" i="29"/>
  <c r="H17" i="29"/>
  <c r="K17" i="29" s="1"/>
  <c r="M16" i="29"/>
  <c r="L16" i="29"/>
  <c r="J16" i="29"/>
  <c r="I16" i="29"/>
  <c r="H16" i="29"/>
  <c r="K16" i="29" s="1"/>
  <c r="M15" i="29"/>
  <c r="L15" i="29"/>
  <c r="J15" i="29"/>
  <c r="I15" i="29"/>
  <c r="H15" i="29"/>
  <c r="K15" i="29" s="1"/>
  <c r="M14" i="29"/>
  <c r="L14" i="29"/>
  <c r="J14" i="29"/>
  <c r="I14" i="29"/>
  <c r="H14" i="29"/>
  <c r="K14" i="29" s="1"/>
  <c r="M13" i="29"/>
  <c r="L13" i="29"/>
  <c r="J13" i="29"/>
  <c r="I13" i="29"/>
  <c r="H13" i="29"/>
  <c r="K13" i="29" s="1"/>
  <c r="M12" i="29"/>
  <c r="L12" i="29"/>
  <c r="J12" i="29"/>
  <c r="I12" i="29"/>
  <c r="H12" i="29"/>
  <c r="K12" i="29" s="1"/>
  <c r="M11" i="29"/>
  <c r="L11" i="29"/>
  <c r="J11" i="29"/>
  <c r="I11" i="29"/>
  <c r="H11" i="29"/>
  <c r="K11" i="29" s="1"/>
  <c r="M10" i="29"/>
  <c r="L10" i="29"/>
  <c r="J10" i="29"/>
  <c r="I10" i="29"/>
  <c r="H10" i="29"/>
  <c r="K10" i="29" s="1"/>
  <c r="M9" i="29"/>
  <c r="L9" i="29"/>
  <c r="J9" i="29"/>
  <c r="I9" i="29"/>
  <c r="H9" i="29"/>
  <c r="K9" i="29" s="1"/>
  <c r="M8" i="29"/>
  <c r="L8" i="29"/>
  <c r="J8" i="29"/>
  <c r="I8" i="29"/>
  <c r="H8" i="29"/>
  <c r="K8" i="29" s="1"/>
  <c r="M7" i="29"/>
  <c r="L7" i="29"/>
  <c r="J7" i="29"/>
  <c r="I7" i="29"/>
  <c r="H7" i="29"/>
  <c r="K7" i="29" s="1"/>
  <c r="M6" i="29"/>
  <c r="L6" i="29"/>
  <c r="J6" i="29"/>
  <c r="I6" i="29"/>
  <c r="H6" i="29"/>
  <c r="K6" i="29" s="1"/>
  <c r="M5" i="29"/>
  <c r="L5" i="29"/>
  <c r="J5" i="29"/>
  <c r="I5" i="29"/>
  <c r="H5" i="29"/>
  <c r="K5" i="29" s="1"/>
  <c r="G90" i="29" l="1"/>
  <c r="G93" i="29" s="1"/>
  <c r="M85" i="29"/>
  <c r="D115" i="29"/>
  <c r="K85" i="29"/>
  <c r="L85" i="29"/>
  <c r="I85" i="29"/>
  <c r="J85" i="29"/>
  <c r="D113" i="28"/>
  <c r="D105" i="28"/>
  <c r="D107" i="28" s="1"/>
  <c r="J84" i="28"/>
  <c r="I84" i="28"/>
  <c r="H84" i="28"/>
  <c r="J83" i="28"/>
  <c r="I83" i="28"/>
  <c r="H83" i="28"/>
  <c r="J82" i="28"/>
  <c r="I82" i="28"/>
  <c r="H82" i="28"/>
  <c r="J81" i="28"/>
  <c r="I81" i="28"/>
  <c r="H81" i="28"/>
  <c r="J80" i="28"/>
  <c r="I80" i="28"/>
  <c r="H80" i="28"/>
  <c r="J79" i="28"/>
  <c r="I79" i="28"/>
  <c r="H79" i="28"/>
  <c r="J78" i="28"/>
  <c r="I78" i="28"/>
  <c r="H78" i="28"/>
  <c r="J77" i="28"/>
  <c r="I77" i="28"/>
  <c r="H77" i="28"/>
  <c r="M76" i="28"/>
  <c r="L76" i="28"/>
  <c r="J76" i="28"/>
  <c r="I76" i="28"/>
  <c r="H76" i="28"/>
  <c r="K76" i="28" s="1"/>
  <c r="M75" i="28"/>
  <c r="L75" i="28"/>
  <c r="J75" i="28"/>
  <c r="I75" i="28"/>
  <c r="H75" i="28"/>
  <c r="K75" i="28" s="1"/>
  <c r="J74" i="28"/>
  <c r="I74" i="28"/>
  <c r="H74" i="28"/>
  <c r="M73" i="28"/>
  <c r="L73" i="28"/>
  <c r="J73" i="28"/>
  <c r="I73" i="28"/>
  <c r="H73" i="28"/>
  <c r="K73" i="28" s="1"/>
  <c r="M72" i="28"/>
  <c r="L72" i="28"/>
  <c r="J72" i="28"/>
  <c r="I72" i="28"/>
  <c r="H72" i="28"/>
  <c r="K72" i="28" s="1"/>
  <c r="M71" i="28"/>
  <c r="L71" i="28"/>
  <c r="J71" i="28"/>
  <c r="I71" i="28"/>
  <c r="H71" i="28"/>
  <c r="K71" i="28" s="1"/>
  <c r="M70" i="28"/>
  <c r="L70" i="28"/>
  <c r="J70" i="28"/>
  <c r="I70" i="28"/>
  <c r="H70" i="28"/>
  <c r="K70" i="28" s="1"/>
  <c r="M69" i="28"/>
  <c r="L69" i="28"/>
  <c r="J69" i="28"/>
  <c r="I69" i="28"/>
  <c r="H69" i="28"/>
  <c r="K69" i="28" s="1"/>
  <c r="M68" i="28"/>
  <c r="L68" i="28"/>
  <c r="J68" i="28"/>
  <c r="I68" i="28"/>
  <c r="H68" i="28"/>
  <c r="K68" i="28" s="1"/>
  <c r="M67" i="28"/>
  <c r="L67" i="28"/>
  <c r="J67" i="28"/>
  <c r="I67" i="28"/>
  <c r="H67" i="28"/>
  <c r="K67" i="28" s="1"/>
  <c r="M66" i="28"/>
  <c r="L66" i="28"/>
  <c r="J66" i="28"/>
  <c r="I66" i="28"/>
  <c r="H66" i="28"/>
  <c r="K66" i="28" s="1"/>
  <c r="M65" i="28"/>
  <c r="L65" i="28"/>
  <c r="J65" i="28"/>
  <c r="I65" i="28"/>
  <c r="H65" i="28"/>
  <c r="K65" i="28" s="1"/>
  <c r="M64" i="28"/>
  <c r="L64" i="28"/>
  <c r="J64" i="28"/>
  <c r="I64" i="28"/>
  <c r="H64" i="28"/>
  <c r="K64" i="28" s="1"/>
  <c r="M63" i="28"/>
  <c r="L63" i="28"/>
  <c r="J63" i="28"/>
  <c r="I63" i="28"/>
  <c r="H63" i="28"/>
  <c r="K63" i="28" s="1"/>
  <c r="M62" i="28"/>
  <c r="L62" i="28"/>
  <c r="J62" i="28"/>
  <c r="I62" i="28"/>
  <c r="H62" i="28"/>
  <c r="K62" i="28" s="1"/>
  <c r="M61" i="28"/>
  <c r="L61" i="28"/>
  <c r="J61" i="28"/>
  <c r="I61" i="28"/>
  <c r="H61" i="28"/>
  <c r="K61" i="28" s="1"/>
  <c r="M60" i="28"/>
  <c r="L60" i="28"/>
  <c r="J60" i="28"/>
  <c r="I60" i="28"/>
  <c r="H60" i="28"/>
  <c r="K60" i="28" s="1"/>
  <c r="M59" i="28"/>
  <c r="L59" i="28"/>
  <c r="J59" i="28"/>
  <c r="I59" i="28"/>
  <c r="H59" i="28"/>
  <c r="K59" i="28" s="1"/>
  <c r="M58" i="28"/>
  <c r="L58" i="28"/>
  <c r="J58" i="28"/>
  <c r="I58" i="28"/>
  <c r="H58" i="28"/>
  <c r="K58" i="28" s="1"/>
  <c r="M57" i="28"/>
  <c r="L57" i="28"/>
  <c r="J57" i="28"/>
  <c r="I57" i="28"/>
  <c r="H57" i="28"/>
  <c r="K57" i="28" s="1"/>
  <c r="M56" i="28"/>
  <c r="L56" i="28"/>
  <c r="J56" i="28"/>
  <c r="I56" i="28"/>
  <c r="H56" i="28"/>
  <c r="K56" i="28" s="1"/>
  <c r="M55" i="28"/>
  <c r="L55" i="28"/>
  <c r="J55" i="28"/>
  <c r="I55" i="28"/>
  <c r="H55" i="28"/>
  <c r="K55" i="28" s="1"/>
  <c r="M54" i="28"/>
  <c r="L54" i="28"/>
  <c r="J54" i="28"/>
  <c r="I54" i="28"/>
  <c r="H54" i="28"/>
  <c r="K54" i="28" s="1"/>
  <c r="M53" i="28"/>
  <c r="L53" i="28"/>
  <c r="J53" i="28"/>
  <c r="I53" i="28"/>
  <c r="H53" i="28"/>
  <c r="K53" i="28" s="1"/>
  <c r="M52" i="28"/>
  <c r="L52" i="28"/>
  <c r="J52" i="28"/>
  <c r="I52" i="28"/>
  <c r="H52" i="28"/>
  <c r="K52" i="28" s="1"/>
  <c r="M51" i="28"/>
  <c r="L51" i="28"/>
  <c r="J51" i="28"/>
  <c r="I51" i="28"/>
  <c r="H51" i="28"/>
  <c r="K51" i="28" s="1"/>
  <c r="M50" i="28"/>
  <c r="L50" i="28"/>
  <c r="J50" i="28"/>
  <c r="I50" i="28"/>
  <c r="H50" i="28"/>
  <c r="K50" i="28" s="1"/>
  <c r="M49" i="28"/>
  <c r="L49" i="28"/>
  <c r="J49" i="28"/>
  <c r="I49" i="28"/>
  <c r="H49" i="28"/>
  <c r="K49" i="28" s="1"/>
  <c r="M48" i="28"/>
  <c r="L48" i="28"/>
  <c r="J48" i="28"/>
  <c r="I48" i="28"/>
  <c r="H48" i="28"/>
  <c r="K48" i="28" s="1"/>
  <c r="M47" i="28"/>
  <c r="L47" i="28"/>
  <c r="J47" i="28"/>
  <c r="I47" i="28"/>
  <c r="H47" i="28"/>
  <c r="K47" i="28" s="1"/>
  <c r="M46" i="28"/>
  <c r="L46" i="28"/>
  <c r="J46" i="28"/>
  <c r="I46" i="28"/>
  <c r="H46" i="28"/>
  <c r="K46" i="28" s="1"/>
  <c r="M45" i="28"/>
  <c r="L45" i="28"/>
  <c r="J45" i="28"/>
  <c r="I45" i="28"/>
  <c r="H45" i="28"/>
  <c r="K45" i="28" s="1"/>
  <c r="M44" i="28"/>
  <c r="L44" i="28"/>
  <c r="J44" i="28"/>
  <c r="I44" i="28"/>
  <c r="H44" i="28"/>
  <c r="K44" i="28" s="1"/>
  <c r="M43" i="28"/>
  <c r="L43" i="28"/>
  <c r="J43" i="28"/>
  <c r="I43" i="28"/>
  <c r="H43" i="28"/>
  <c r="K43" i="28" s="1"/>
  <c r="M42" i="28"/>
  <c r="L42" i="28"/>
  <c r="J42" i="28"/>
  <c r="I42" i="28"/>
  <c r="H42" i="28"/>
  <c r="K42" i="28" s="1"/>
  <c r="M41" i="28"/>
  <c r="L41" i="28"/>
  <c r="J41" i="28"/>
  <c r="I41" i="28"/>
  <c r="H41" i="28"/>
  <c r="K41" i="28" s="1"/>
  <c r="M40" i="28"/>
  <c r="L40" i="28"/>
  <c r="J40" i="28"/>
  <c r="I40" i="28"/>
  <c r="H40" i="28"/>
  <c r="K40" i="28" s="1"/>
  <c r="M39" i="28"/>
  <c r="L39" i="28"/>
  <c r="J39" i="28"/>
  <c r="I39" i="28"/>
  <c r="H39" i="28"/>
  <c r="K39" i="28" s="1"/>
  <c r="M38" i="28"/>
  <c r="L38" i="28"/>
  <c r="J38" i="28"/>
  <c r="I38" i="28"/>
  <c r="H38" i="28"/>
  <c r="K38" i="28" s="1"/>
  <c r="M37" i="28"/>
  <c r="L37" i="28"/>
  <c r="J37" i="28"/>
  <c r="I37" i="28"/>
  <c r="H37" i="28"/>
  <c r="K37" i="28" s="1"/>
  <c r="M36" i="28"/>
  <c r="L36" i="28"/>
  <c r="J36" i="28"/>
  <c r="I36" i="28"/>
  <c r="H36" i="28"/>
  <c r="K36" i="28" s="1"/>
  <c r="M35" i="28"/>
  <c r="L35" i="28"/>
  <c r="J35" i="28"/>
  <c r="I35" i="28"/>
  <c r="H35" i="28"/>
  <c r="K35" i="28" s="1"/>
  <c r="M34" i="28"/>
  <c r="L34" i="28"/>
  <c r="J34" i="28"/>
  <c r="I34" i="28"/>
  <c r="H34" i="28"/>
  <c r="K34" i="28" s="1"/>
  <c r="M33" i="28"/>
  <c r="L33" i="28"/>
  <c r="J33" i="28"/>
  <c r="I33" i="28"/>
  <c r="H33" i="28"/>
  <c r="K33" i="28" s="1"/>
  <c r="M32" i="28"/>
  <c r="L32" i="28"/>
  <c r="J32" i="28"/>
  <c r="I32" i="28"/>
  <c r="H32" i="28"/>
  <c r="K32" i="28" s="1"/>
  <c r="M31" i="28"/>
  <c r="L31" i="28"/>
  <c r="J31" i="28"/>
  <c r="I31" i="28"/>
  <c r="H31" i="28"/>
  <c r="K31" i="28" s="1"/>
  <c r="M30" i="28"/>
  <c r="L30" i="28"/>
  <c r="J30" i="28"/>
  <c r="I30" i="28"/>
  <c r="H30" i="28"/>
  <c r="K30" i="28" s="1"/>
  <c r="M29" i="28"/>
  <c r="L29" i="28"/>
  <c r="J29" i="28"/>
  <c r="I29" i="28"/>
  <c r="H29" i="28"/>
  <c r="K29" i="28" s="1"/>
  <c r="M28" i="28"/>
  <c r="L28" i="28"/>
  <c r="J28" i="28"/>
  <c r="I28" i="28"/>
  <c r="H28" i="28"/>
  <c r="K28" i="28" s="1"/>
  <c r="M27" i="28"/>
  <c r="L27" i="28"/>
  <c r="J27" i="28"/>
  <c r="I27" i="28"/>
  <c r="H27" i="28"/>
  <c r="K27" i="28" s="1"/>
  <c r="M26" i="28"/>
  <c r="L26" i="28"/>
  <c r="J26" i="28"/>
  <c r="I26" i="28"/>
  <c r="H26" i="28"/>
  <c r="K26" i="28" s="1"/>
  <c r="M25" i="28"/>
  <c r="L25" i="28"/>
  <c r="J25" i="28"/>
  <c r="I25" i="28"/>
  <c r="H25" i="28"/>
  <c r="K25" i="28" s="1"/>
  <c r="M24" i="28"/>
  <c r="L24" i="28"/>
  <c r="J24" i="28"/>
  <c r="I24" i="28"/>
  <c r="H24" i="28"/>
  <c r="K24" i="28" s="1"/>
  <c r="M23" i="28"/>
  <c r="L23" i="28"/>
  <c r="J23" i="28"/>
  <c r="I23" i="28"/>
  <c r="H23" i="28"/>
  <c r="K23" i="28" s="1"/>
  <c r="M22" i="28"/>
  <c r="L22" i="28"/>
  <c r="J22" i="28"/>
  <c r="I22" i="28"/>
  <c r="H22" i="28"/>
  <c r="K22" i="28" s="1"/>
  <c r="M21" i="28"/>
  <c r="L21" i="28"/>
  <c r="J21" i="28"/>
  <c r="I21" i="28"/>
  <c r="H21" i="28"/>
  <c r="K21" i="28" s="1"/>
  <c r="M20" i="28"/>
  <c r="L20" i="28"/>
  <c r="J20" i="28"/>
  <c r="I20" i="28"/>
  <c r="H20" i="28"/>
  <c r="K20" i="28" s="1"/>
  <c r="M19" i="28"/>
  <c r="L19" i="28"/>
  <c r="J19" i="28"/>
  <c r="I19" i="28"/>
  <c r="H19" i="28"/>
  <c r="K19" i="28" s="1"/>
  <c r="M18" i="28"/>
  <c r="L18" i="28"/>
  <c r="J18" i="28"/>
  <c r="I18" i="28"/>
  <c r="H18" i="28"/>
  <c r="K18" i="28" s="1"/>
  <c r="M17" i="28"/>
  <c r="L17" i="28"/>
  <c r="J17" i="28"/>
  <c r="I17" i="28"/>
  <c r="H17" i="28"/>
  <c r="K17" i="28" s="1"/>
  <c r="M16" i="28"/>
  <c r="L16" i="28"/>
  <c r="J16" i="28"/>
  <c r="I16" i="28"/>
  <c r="H16" i="28"/>
  <c r="K16" i="28" s="1"/>
  <c r="M15" i="28"/>
  <c r="L15" i="28"/>
  <c r="J15" i="28"/>
  <c r="I15" i="28"/>
  <c r="H15" i="28"/>
  <c r="K15" i="28" s="1"/>
  <c r="M14" i="28"/>
  <c r="L14" i="28"/>
  <c r="J14" i="28"/>
  <c r="I14" i="28"/>
  <c r="H14" i="28"/>
  <c r="K14" i="28" s="1"/>
  <c r="M13" i="28"/>
  <c r="L13" i="28"/>
  <c r="J13" i="28"/>
  <c r="I13" i="28"/>
  <c r="H13" i="28"/>
  <c r="K13" i="28" s="1"/>
  <c r="M12" i="28"/>
  <c r="L12" i="28"/>
  <c r="J12" i="28"/>
  <c r="I12" i="28"/>
  <c r="H12" i="28"/>
  <c r="K12" i="28" s="1"/>
  <c r="M11" i="28"/>
  <c r="L11" i="28"/>
  <c r="J11" i="28"/>
  <c r="I11" i="28"/>
  <c r="H11" i="28"/>
  <c r="K11" i="28" s="1"/>
  <c r="M10" i="28"/>
  <c r="L10" i="28"/>
  <c r="J10" i="28"/>
  <c r="I10" i="28"/>
  <c r="H10" i="28"/>
  <c r="K10" i="28" s="1"/>
  <c r="M9" i="28"/>
  <c r="L9" i="28"/>
  <c r="J9" i="28"/>
  <c r="I9" i="28"/>
  <c r="H9" i="28"/>
  <c r="K9" i="28" s="1"/>
  <c r="M8" i="28"/>
  <c r="L8" i="28"/>
  <c r="J8" i="28"/>
  <c r="I8" i="28"/>
  <c r="H8" i="28"/>
  <c r="K8" i="28" s="1"/>
  <c r="M7" i="28"/>
  <c r="L7" i="28"/>
  <c r="J7" i="28"/>
  <c r="I7" i="28"/>
  <c r="H7" i="28"/>
  <c r="K7" i="28" s="1"/>
  <c r="M6" i="28"/>
  <c r="L6" i="28"/>
  <c r="J6" i="28"/>
  <c r="I6" i="28"/>
  <c r="H6" i="28"/>
  <c r="K6" i="28" s="1"/>
  <c r="M5" i="28"/>
  <c r="L5" i="28"/>
  <c r="J5" i="28"/>
  <c r="I5" i="28"/>
  <c r="H5" i="28"/>
  <c r="K5" i="28" s="1"/>
  <c r="G91" i="28" l="1"/>
  <c r="G93" i="28" s="1"/>
  <c r="M85" i="28"/>
  <c r="D115" i="28"/>
  <c r="I85" i="28"/>
  <c r="L85" i="28"/>
  <c r="K85" i="28"/>
  <c r="J85" i="28"/>
  <c r="D115" i="27"/>
  <c r="H76" i="27"/>
  <c r="K76" i="27" s="1"/>
  <c r="I76" i="27"/>
  <c r="J76" i="27"/>
  <c r="L76" i="27"/>
  <c r="M76" i="27"/>
  <c r="H77" i="27"/>
  <c r="K77" i="27" s="1"/>
  <c r="I77" i="27"/>
  <c r="J77" i="27"/>
  <c r="L77" i="27"/>
  <c r="M77" i="27"/>
  <c r="H73" i="27"/>
  <c r="K73" i="27" s="1"/>
  <c r="I73" i="27"/>
  <c r="J73" i="27"/>
  <c r="L73" i="27"/>
  <c r="M73" i="27"/>
  <c r="H71" i="27"/>
  <c r="K71" i="27" s="1"/>
  <c r="I71" i="27"/>
  <c r="J71" i="27"/>
  <c r="L71" i="27"/>
  <c r="M71" i="27"/>
  <c r="H72" i="27"/>
  <c r="K72" i="27" s="1"/>
  <c r="I72" i="27"/>
  <c r="J72" i="27"/>
  <c r="L72" i="27"/>
  <c r="M72" i="27"/>
  <c r="H70" i="27"/>
  <c r="K70" i="27" s="1"/>
  <c r="I70" i="27"/>
  <c r="J70" i="27"/>
  <c r="L70" i="27"/>
  <c r="M70" i="27"/>
  <c r="H69" i="27"/>
  <c r="K69" i="27" s="1"/>
  <c r="I69" i="27"/>
  <c r="J69" i="27"/>
  <c r="M69" i="27"/>
  <c r="L69" i="27" l="1"/>
  <c r="H84" i="27"/>
  <c r="K84" i="27" s="1"/>
  <c r="I84" i="27"/>
  <c r="J84" i="27"/>
  <c r="L84" i="27"/>
  <c r="M84" i="27"/>
  <c r="H79" i="27" l="1"/>
  <c r="K79" i="27" s="1"/>
  <c r="I79" i="27"/>
  <c r="J79" i="27"/>
  <c r="L79" i="27"/>
  <c r="M79" i="27"/>
  <c r="H75" i="27"/>
  <c r="K75" i="27" s="1"/>
  <c r="I75" i="27"/>
  <c r="J75" i="27"/>
  <c r="L75" i="27"/>
  <c r="M75" i="27"/>
  <c r="H54" i="27"/>
  <c r="K54" i="27" s="1"/>
  <c r="I54" i="27"/>
  <c r="J54" i="27"/>
  <c r="L54" i="27"/>
  <c r="M54" i="27"/>
  <c r="H50" i="27"/>
  <c r="K50" i="27" s="1"/>
  <c r="I50" i="27"/>
  <c r="J50" i="27"/>
  <c r="L50" i="27"/>
  <c r="M50" i="27"/>
  <c r="H51" i="27"/>
  <c r="K51" i="27" s="1"/>
  <c r="I51" i="27"/>
  <c r="J51" i="27"/>
  <c r="L51" i="27"/>
  <c r="M51" i="27"/>
  <c r="H52" i="27"/>
  <c r="K52" i="27" s="1"/>
  <c r="I52" i="27"/>
  <c r="J52" i="27"/>
  <c r="L52" i="27"/>
  <c r="H53" i="27"/>
  <c r="K53" i="27" s="1"/>
  <c r="I53" i="27"/>
  <c r="J53" i="27"/>
  <c r="H23" i="27"/>
  <c r="K23" i="27" s="1"/>
  <c r="I23" i="27"/>
  <c r="J23" i="27"/>
  <c r="H21" i="27"/>
  <c r="K21" i="27" s="1"/>
  <c r="I21" i="27"/>
  <c r="J21" i="27"/>
  <c r="H16" i="27"/>
  <c r="K16" i="27" s="1"/>
  <c r="I16" i="27"/>
  <c r="J16" i="27"/>
  <c r="H38" i="27"/>
  <c r="K38" i="27" s="1"/>
  <c r="I38" i="27"/>
  <c r="J38" i="27"/>
  <c r="L38" i="27"/>
  <c r="M38" i="27"/>
  <c r="M23" i="27" l="1"/>
  <c r="M16" i="27"/>
  <c r="M21" i="27"/>
  <c r="L16" i="27"/>
  <c r="L23" i="27"/>
  <c r="M53" i="27"/>
  <c r="M52" i="27"/>
  <c r="L21" i="27"/>
  <c r="L53" i="27"/>
  <c r="H66" i="27"/>
  <c r="K66" i="27" s="1"/>
  <c r="I66" i="27"/>
  <c r="J66" i="27"/>
  <c r="L66" i="27"/>
  <c r="M66" i="27"/>
  <c r="H81" i="27"/>
  <c r="K81" i="27" s="1"/>
  <c r="I81" i="27"/>
  <c r="J81" i="27"/>
  <c r="L81" i="27"/>
  <c r="M81" i="27"/>
  <c r="F43" i="25"/>
  <c r="F40" i="25"/>
  <c r="F41" i="25"/>
  <c r="F26" i="25" l="1"/>
  <c r="D107" i="27"/>
  <c r="D109" i="27" s="1"/>
  <c r="J83" i="27"/>
  <c r="I83" i="27"/>
  <c r="H83" i="27"/>
  <c r="J82" i="27"/>
  <c r="I82" i="27"/>
  <c r="H82" i="27"/>
  <c r="J80" i="27"/>
  <c r="I80" i="27"/>
  <c r="H80" i="27"/>
  <c r="J78" i="27"/>
  <c r="I78" i="27"/>
  <c r="H78" i="27"/>
  <c r="J74" i="27"/>
  <c r="I74" i="27"/>
  <c r="H74" i="27"/>
  <c r="M68" i="27"/>
  <c r="L68" i="27"/>
  <c r="J68" i="27"/>
  <c r="I68" i="27"/>
  <c r="H68" i="27"/>
  <c r="K68" i="27" s="1"/>
  <c r="L67" i="27"/>
  <c r="J67" i="27"/>
  <c r="I67" i="27"/>
  <c r="H67" i="27"/>
  <c r="K67" i="27" s="1"/>
  <c r="M67" i="27"/>
  <c r="M65" i="27"/>
  <c r="L65" i="27"/>
  <c r="J65" i="27"/>
  <c r="I65" i="27"/>
  <c r="H65" i="27"/>
  <c r="K65" i="27" s="1"/>
  <c r="J64" i="27"/>
  <c r="I64" i="27"/>
  <c r="L63" i="27"/>
  <c r="J63" i="27"/>
  <c r="I63" i="27"/>
  <c r="H63" i="27"/>
  <c r="K63" i="27" s="1"/>
  <c r="M63" i="27"/>
  <c r="J62" i="27"/>
  <c r="I62" i="27"/>
  <c r="L61" i="27"/>
  <c r="J61" i="27"/>
  <c r="I61" i="27"/>
  <c r="H61" i="27"/>
  <c r="K61" i="27" s="1"/>
  <c r="M61" i="27"/>
  <c r="J60" i="27"/>
  <c r="I60" i="27"/>
  <c r="L59" i="27"/>
  <c r="J59" i="27"/>
  <c r="I59" i="27"/>
  <c r="H59" i="27"/>
  <c r="K59" i="27" s="1"/>
  <c r="M59" i="27"/>
  <c r="J58" i="27"/>
  <c r="I58" i="27"/>
  <c r="J57" i="27"/>
  <c r="I57" i="27"/>
  <c r="M57" i="27"/>
  <c r="J56" i="27"/>
  <c r="I56" i="27"/>
  <c r="L55" i="27"/>
  <c r="J55" i="27"/>
  <c r="I55" i="27"/>
  <c r="H55" i="27"/>
  <c r="K55" i="27" s="1"/>
  <c r="M55" i="27"/>
  <c r="J49" i="27"/>
  <c r="I49" i="27"/>
  <c r="J48" i="27"/>
  <c r="I48" i="27"/>
  <c r="M48" i="27"/>
  <c r="J47" i="27"/>
  <c r="I47" i="27"/>
  <c r="J46" i="27"/>
  <c r="I46" i="27"/>
  <c r="M46" i="27"/>
  <c r="J45" i="27"/>
  <c r="I45" i="27"/>
  <c r="L44" i="27"/>
  <c r="J44" i="27"/>
  <c r="I44" i="27"/>
  <c r="H44" i="27"/>
  <c r="K44" i="27" s="1"/>
  <c r="M44" i="27"/>
  <c r="J43" i="27"/>
  <c r="I43" i="27"/>
  <c r="J42" i="27"/>
  <c r="I42" i="27"/>
  <c r="J41" i="27"/>
  <c r="I41" i="27"/>
  <c r="M41" i="27"/>
  <c r="J40" i="27"/>
  <c r="I40" i="27"/>
  <c r="M39" i="27"/>
  <c r="L39" i="27"/>
  <c r="J39" i="27"/>
  <c r="I39" i="27"/>
  <c r="H39" i="27"/>
  <c r="K39" i="27" s="1"/>
  <c r="J37" i="27"/>
  <c r="I37" i="27"/>
  <c r="M37" i="27"/>
  <c r="J36" i="27"/>
  <c r="I36" i="27"/>
  <c r="L35" i="27"/>
  <c r="J35" i="27"/>
  <c r="I35" i="27"/>
  <c r="H35" i="27"/>
  <c r="K35" i="27" s="1"/>
  <c r="M35" i="27"/>
  <c r="J34" i="27"/>
  <c r="I34" i="27"/>
  <c r="L33" i="27"/>
  <c r="J33" i="27"/>
  <c r="I33" i="27"/>
  <c r="H33" i="27"/>
  <c r="K33" i="27" s="1"/>
  <c r="M33" i="27"/>
  <c r="J32" i="27"/>
  <c r="I32" i="27"/>
  <c r="J31" i="27"/>
  <c r="I31" i="27"/>
  <c r="M31" i="27"/>
  <c r="J30" i="27"/>
  <c r="I30" i="27"/>
  <c r="L29" i="27"/>
  <c r="J29" i="27"/>
  <c r="I29" i="27"/>
  <c r="H29" i="27"/>
  <c r="K29" i="27" s="1"/>
  <c r="M29" i="27"/>
  <c r="J28" i="27"/>
  <c r="I28" i="27"/>
  <c r="J27" i="27"/>
  <c r="I27" i="27"/>
  <c r="M27" i="27"/>
  <c r="J26" i="27"/>
  <c r="I26" i="27"/>
  <c r="L25" i="27"/>
  <c r="J25" i="27"/>
  <c r="I25" i="27"/>
  <c r="H25" i="27"/>
  <c r="K25" i="27" s="1"/>
  <c r="M25" i="27"/>
  <c r="J24" i="27"/>
  <c r="I24" i="27"/>
  <c r="L22" i="27"/>
  <c r="J22" i="27"/>
  <c r="I22" i="27"/>
  <c r="H22" i="27"/>
  <c r="K22" i="27" s="1"/>
  <c r="M22" i="27"/>
  <c r="J20" i="27"/>
  <c r="I20" i="27"/>
  <c r="L19" i="27"/>
  <c r="J19" i="27"/>
  <c r="I19" i="27"/>
  <c r="H19" i="27"/>
  <c r="K19" i="27" s="1"/>
  <c r="M19" i="27"/>
  <c r="J18" i="27"/>
  <c r="I18" i="27"/>
  <c r="L18" i="27"/>
  <c r="L17" i="27"/>
  <c r="J17" i="27"/>
  <c r="I17" i="27"/>
  <c r="H17" i="27"/>
  <c r="K17" i="27" s="1"/>
  <c r="M17" i="27"/>
  <c r="J15" i="27"/>
  <c r="I15" i="27"/>
  <c r="L15" i="27"/>
  <c r="L14" i="27"/>
  <c r="J14" i="27"/>
  <c r="I14" i="27"/>
  <c r="H14" i="27"/>
  <c r="K14" i="27" s="1"/>
  <c r="M14" i="27"/>
  <c r="J13" i="27"/>
  <c r="I13" i="27"/>
  <c r="L13" i="27"/>
  <c r="L12" i="27"/>
  <c r="J12" i="27"/>
  <c r="I12" i="27"/>
  <c r="H12" i="27"/>
  <c r="K12" i="27" s="1"/>
  <c r="M12" i="27"/>
  <c r="J11" i="27"/>
  <c r="I11" i="27"/>
  <c r="L11" i="27"/>
  <c r="J10" i="27"/>
  <c r="I10" i="27"/>
  <c r="M10" i="27"/>
  <c r="J9" i="27"/>
  <c r="I9" i="27"/>
  <c r="L9" i="27"/>
  <c r="L8" i="27"/>
  <c r="J8" i="27"/>
  <c r="I8" i="27"/>
  <c r="H8" i="27"/>
  <c r="K8" i="27" s="1"/>
  <c r="M8" i="27"/>
  <c r="J7" i="27"/>
  <c r="I7" i="27"/>
  <c r="L6" i="27"/>
  <c r="J6" i="27"/>
  <c r="I6" i="27"/>
  <c r="H6" i="27"/>
  <c r="K6" i="27" s="1"/>
  <c r="M6" i="27"/>
  <c r="M5" i="27"/>
  <c r="L5" i="27"/>
  <c r="J5" i="27"/>
  <c r="I5" i="27"/>
  <c r="H5" i="27"/>
  <c r="K5" i="27" s="1"/>
  <c r="I85" i="27" l="1"/>
  <c r="J85" i="27"/>
  <c r="H41" i="27"/>
  <c r="K41" i="27" s="1"/>
  <c r="H27" i="27"/>
  <c r="K27" i="27" s="1"/>
  <c r="H37" i="27"/>
  <c r="K37" i="27" s="1"/>
  <c r="H57" i="27"/>
  <c r="K57" i="27" s="1"/>
  <c r="H10" i="27"/>
  <c r="K10" i="27" s="1"/>
  <c r="H31" i="27"/>
  <c r="K31" i="27" s="1"/>
  <c r="L10" i="27"/>
  <c r="L27" i="27"/>
  <c r="L31" i="27"/>
  <c r="L37" i="27"/>
  <c r="L41" i="27"/>
  <c r="H48" i="27"/>
  <c r="K48" i="27" s="1"/>
  <c r="L57" i="27"/>
  <c r="L48" i="27"/>
  <c r="L46" i="27"/>
  <c r="H46" i="27"/>
  <c r="K46" i="27" s="1"/>
  <c r="G93" i="27"/>
  <c r="G95" i="27" s="1"/>
  <c r="L7" i="27"/>
  <c r="H7" i="27"/>
  <c r="K7" i="27" s="1"/>
  <c r="M7" i="27"/>
  <c r="M9" i="27"/>
  <c r="M11" i="27"/>
  <c r="M13" i="27"/>
  <c r="M15" i="27"/>
  <c r="M18" i="27"/>
  <c r="L40" i="27"/>
  <c r="H40" i="27"/>
  <c r="K40" i="27" s="1"/>
  <c r="M40" i="27"/>
  <c r="L42" i="27"/>
  <c r="H42" i="27"/>
  <c r="K42" i="27" s="1"/>
  <c r="M42" i="27"/>
  <c r="L43" i="27"/>
  <c r="H43" i="27"/>
  <c r="K43" i="27" s="1"/>
  <c r="M43" i="27"/>
  <c r="L45" i="27"/>
  <c r="H45" i="27"/>
  <c r="K45" i="27" s="1"/>
  <c r="M45" i="27"/>
  <c r="L47" i="27"/>
  <c r="H47" i="27"/>
  <c r="K47" i="27" s="1"/>
  <c r="M47" i="27"/>
  <c r="L49" i="27"/>
  <c r="H49" i="27"/>
  <c r="K49" i="27" s="1"/>
  <c r="M49" i="27"/>
  <c r="L56" i="27"/>
  <c r="H56" i="27"/>
  <c r="K56" i="27" s="1"/>
  <c r="M56" i="27"/>
  <c r="L58" i="27"/>
  <c r="H58" i="27"/>
  <c r="K58" i="27" s="1"/>
  <c r="M58" i="27"/>
  <c r="L60" i="27"/>
  <c r="H60" i="27"/>
  <c r="K60" i="27" s="1"/>
  <c r="M60" i="27"/>
  <c r="L62" i="27"/>
  <c r="H62" i="27"/>
  <c r="K62" i="27" s="1"/>
  <c r="M62" i="27"/>
  <c r="L64" i="27"/>
  <c r="H64" i="27"/>
  <c r="K64" i="27" s="1"/>
  <c r="M64" i="27"/>
  <c r="H9" i="27"/>
  <c r="K9" i="27" s="1"/>
  <c r="H11" i="27"/>
  <c r="K11" i="27" s="1"/>
  <c r="H13" i="27"/>
  <c r="K13" i="27" s="1"/>
  <c r="H15" i="27"/>
  <c r="K15" i="27" s="1"/>
  <c r="H18" i="27"/>
  <c r="K18" i="27" s="1"/>
  <c r="L20" i="27"/>
  <c r="H20" i="27"/>
  <c r="K20" i="27" s="1"/>
  <c r="M20" i="27"/>
  <c r="L24" i="27"/>
  <c r="H24" i="27"/>
  <c r="K24" i="27" s="1"/>
  <c r="M24" i="27"/>
  <c r="L26" i="27"/>
  <c r="H26" i="27"/>
  <c r="K26" i="27" s="1"/>
  <c r="M26" i="27"/>
  <c r="L28" i="27"/>
  <c r="H28" i="27"/>
  <c r="K28" i="27" s="1"/>
  <c r="M28" i="27"/>
  <c r="L30" i="27"/>
  <c r="H30" i="27"/>
  <c r="K30" i="27" s="1"/>
  <c r="M30" i="27"/>
  <c r="L32" i="27"/>
  <c r="H32" i="27"/>
  <c r="K32" i="27" s="1"/>
  <c r="M32" i="27"/>
  <c r="L34" i="27"/>
  <c r="H34" i="27"/>
  <c r="K34" i="27" s="1"/>
  <c r="M34" i="27"/>
  <c r="L36" i="27"/>
  <c r="H36" i="27"/>
  <c r="K36" i="27" s="1"/>
  <c r="M36" i="27"/>
  <c r="D117" i="27"/>
  <c r="D94" i="25"/>
  <c r="D86" i="25"/>
  <c r="D88" i="25" s="1"/>
  <c r="D89" i="23"/>
  <c r="D97" i="23" s="1"/>
  <c r="D87" i="23"/>
  <c r="D96" i="25" l="1"/>
  <c r="L85" i="27"/>
  <c r="K85" i="27"/>
  <c r="M85" i="27"/>
  <c r="H5" i="25" l="1"/>
  <c r="H26" i="25"/>
  <c r="H35" i="25"/>
  <c r="H40" i="25"/>
  <c r="H41" i="25"/>
  <c r="H42" i="25"/>
  <c r="H43" i="25"/>
  <c r="H57" i="25"/>
  <c r="H59" i="25"/>
  <c r="H60" i="25"/>
  <c r="H61" i="25"/>
  <c r="H62" i="25"/>
  <c r="H63" i="25"/>
  <c r="H64" i="25"/>
  <c r="F8" i="25"/>
  <c r="H8" i="25" s="1"/>
  <c r="F9" i="25"/>
  <c r="H9" i="25" s="1"/>
  <c r="F15" i="25"/>
  <c r="H15" i="25" s="1"/>
  <c r="F36" i="25"/>
  <c r="H36" i="25" s="1"/>
  <c r="F37" i="25"/>
  <c r="H37" i="25" s="1"/>
  <c r="F38" i="25"/>
  <c r="H38" i="25" s="1"/>
  <c r="F44" i="25"/>
  <c r="H44" i="25" s="1"/>
  <c r="F45" i="25"/>
  <c r="H45" i="25" s="1"/>
  <c r="F46" i="25"/>
  <c r="H46" i="25" s="1"/>
  <c r="F47" i="25"/>
  <c r="H47" i="25" s="1"/>
  <c r="F48" i="25"/>
  <c r="H48" i="25" s="1"/>
  <c r="F51" i="25"/>
  <c r="H51" i="25" s="1"/>
  <c r="F52" i="25"/>
  <c r="H52" i="25" s="1"/>
  <c r="F53" i="25"/>
  <c r="H53" i="25" s="1"/>
  <c r="F54" i="25"/>
  <c r="H54" i="25" s="1"/>
  <c r="F55" i="25"/>
  <c r="H55" i="25" s="1"/>
  <c r="F56" i="25"/>
  <c r="H56" i="25" s="1"/>
  <c r="F58" i="25"/>
  <c r="H58" i="25" s="1"/>
  <c r="H5" i="23"/>
  <c r="J64" i="25" l="1"/>
  <c r="I64" i="25"/>
  <c r="J63" i="25"/>
  <c r="I63" i="25"/>
  <c r="J62" i="25"/>
  <c r="I62" i="25"/>
  <c r="J61" i="25"/>
  <c r="I61" i="25"/>
  <c r="J60" i="25"/>
  <c r="I60" i="25"/>
  <c r="M59" i="25"/>
  <c r="L59" i="25"/>
  <c r="J59" i="25"/>
  <c r="I59" i="25"/>
  <c r="K59" i="25"/>
  <c r="L58" i="25"/>
  <c r="J58" i="25"/>
  <c r="I58" i="25"/>
  <c r="M57" i="25"/>
  <c r="L57" i="25"/>
  <c r="J57" i="25"/>
  <c r="I57" i="25"/>
  <c r="K57" i="25"/>
  <c r="L56" i="25"/>
  <c r="J56" i="25"/>
  <c r="I56" i="25"/>
  <c r="M55" i="25"/>
  <c r="L55" i="25"/>
  <c r="J55" i="25"/>
  <c r="I55" i="25"/>
  <c r="K55" i="25"/>
  <c r="L54" i="25"/>
  <c r="J54" i="25"/>
  <c r="I54" i="25"/>
  <c r="M53" i="25"/>
  <c r="L53" i="25"/>
  <c r="J53" i="25"/>
  <c r="I53" i="25"/>
  <c r="K53" i="25"/>
  <c r="L52" i="25"/>
  <c r="J52" i="25"/>
  <c r="I52" i="25"/>
  <c r="M51" i="25"/>
  <c r="L51" i="25"/>
  <c r="J51" i="25"/>
  <c r="I51" i="25"/>
  <c r="K51" i="25"/>
  <c r="J50" i="25"/>
  <c r="I50" i="25"/>
  <c r="J49" i="25"/>
  <c r="I49" i="25"/>
  <c r="M48" i="25"/>
  <c r="J48" i="25"/>
  <c r="I48" i="25"/>
  <c r="M47" i="25"/>
  <c r="L47" i="25"/>
  <c r="J47" i="25"/>
  <c r="I47" i="25"/>
  <c r="K47" i="25"/>
  <c r="M46" i="25"/>
  <c r="J46" i="25"/>
  <c r="I46" i="25"/>
  <c r="M45" i="25"/>
  <c r="L45" i="25"/>
  <c r="J45" i="25"/>
  <c r="I45" i="25"/>
  <c r="K45" i="25"/>
  <c r="M44" i="25"/>
  <c r="J44" i="25"/>
  <c r="I44" i="25"/>
  <c r="K44" i="25"/>
  <c r="L43" i="25"/>
  <c r="J43" i="25"/>
  <c r="I43" i="25"/>
  <c r="K43" i="25"/>
  <c r="M43" i="25"/>
  <c r="J42" i="25"/>
  <c r="I42" i="25"/>
  <c r="M41" i="25"/>
  <c r="L41" i="25"/>
  <c r="J41" i="25"/>
  <c r="I41" i="25"/>
  <c r="K41" i="25"/>
  <c r="L40" i="25"/>
  <c r="J40" i="25"/>
  <c r="I40" i="25"/>
  <c r="J39" i="25"/>
  <c r="I39" i="25"/>
  <c r="L38" i="25"/>
  <c r="J38" i="25"/>
  <c r="I38" i="25"/>
  <c r="M37" i="25"/>
  <c r="L37" i="25"/>
  <c r="K37" i="25"/>
  <c r="J37" i="25"/>
  <c r="I37" i="25"/>
  <c r="L36" i="25"/>
  <c r="K36" i="25"/>
  <c r="J36" i="25"/>
  <c r="I36" i="25"/>
  <c r="M35" i="25"/>
  <c r="L35" i="25"/>
  <c r="K35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I29" i="25"/>
  <c r="J28" i="25"/>
  <c r="I28" i="25"/>
  <c r="J27" i="25"/>
  <c r="I27" i="25"/>
  <c r="L26" i="25"/>
  <c r="J26" i="25"/>
  <c r="I26" i="25"/>
  <c r="K26" i="25"/>
  <c r="M26" i="25"/>
  <c r="J25" i="25"/>
  <c r="I25" i="25"/>
  <c r="J24" i="25"/>
  <c r="I24" i="25"/>
  <c r="J23" i="25"/>
  <c r="I23" i="25"/>
  <c r="J22" i="25"/>
  <c r="I22" i="25"/>
  <c r="J21" i="25"/>
  <c r="I21" i="25"/>
  <c r="J20" i="25"/>
  <c r="I20" i="25"/>
  <c r="J19" i="25"/>
  <c r="I19" i="25"/>
  <c r="J18" i="25"/>
  <c r="I18" i="25"/>
  <c r="J17" i="25"/>
  <c r="I17" i="25"/>
  <c r="J16" i="25"/>
  <c r="I16" i="25"/>
  <c r="L15" i="25"/>
  <c r="K15" i="25"/>
  <c r="J15" i="25"/>
  <c r="I15" i="25"/>
  <c r="J14" i="25"/>
  <c r="I14" i="25"/>
  <c r="J13" i="25"/>
  <c r="I13" i="25"/>
  <c r="J12" i="25"/>
  <c r="I12" i="25"/>
  <c r="J11" i="25"/>
  <c r="I11" i="25"/>
  <c r="J10" i="25"/>
  <c r="I10" i="25"/>
  <c r="M9" i="25"/>
  <c r="J9" i="25"/>
  <c r="I9" i="25"/>
  <c r="K9" i="25"/>
  <c r="M8" i="25"/>
  <c r="L8" i="25"/>
  <c r="J8" i="25"/>
  <c r="I8" i="25"/>
  <c r="J7" i="25"/>
  <c r="I7" i="25"/>
  <c r="J6" i="25"/>
  <c r="I6" i="25"/>
  <c r="L5" i="25"/>
  <c r="J5" i="25"/>
  <c r="I5" i="25"/>
  <c r="K5" i="25"/>
  <c r="M15" i="25" l="1"/>
  <c r="M36" i="25"/>
  <c r="K38" i="25"/>
  <c r="M38" i="25"/>
  <c r="K40" i="25"/>
  <c r="M40" i="25"/>
  <c r="L44" i="25"/>
  <c r="K46" i="25"/>
  <c r="L46" i="25"/>
  <c r="K48" i="25"/>
  <c r="L48" i="25"/>
  <c r="K52" i="25"/>
  <c r="M52" i="25"/>
  <c r="K54" i="25"/>
  <c r="M54" i="25"/>
  <c r="K56" i="25"/>
  <c r="M56" i="25"/>
  <c r="K58" i="25"/>
  <c r="M58" i="25"/>
  <c r="K8" i="25"/>
  <c r="M5" i="25"/>
  <c r="L9" i="25"/>
  <c r="G73" i="25"/>
  <c r="G75" i="25" s="1"/>
  <c r="J65" i="25"/>
  <c r="I65" i="25"/>
  <c r="L42" i="25"/>
  <c r="K42" i="25"/>
  <c r="M42" i="25"/>
  <c r="H60" i="23" l="1"/>
  <c r="K35" i="23" l="1"/>
  <c r="I35" i="23"/>
  <c r="J35" i="23"/>
  <c r="L35" i="23"/>
  <c r="M35" i="23"/>
  <c r="I60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1" i="23"/>
  <c r="I62" i="23"/>
  <c r="I63" i="23"/>
  <c r="I64" i="23"/>
  <c r="H61" i="23"/>
  <c r="H62" i="23"/>
  <c r="H63" i="23"/>
  <c r="H64" i="23"/>
  <c r="J63" i="23"/>
  <c r="H54" i="23" l="1"/>
  <c r="K54" i="23" s="1"/>
  <c r="J54" i="23"/>
  <c r="L54" i="23"/>
  <c r="M54" i="23"/>
  <c r="H59" i="23"/>
  <c r="K59" i="23" s="1"/>
  <c r="J59" i="23"/>
  <c r="L59" i="23"/>
  <c r="M59" i="23"/>
  <c r="F6" i="23"/>
  <c r="F7" i="23"/>
  <c r="F7" i="25" s="1"/>
  <c r="L9" i="23"/>
  <c r="F10" i="23"/>
  <c r="F10" i="25" s="1"/>
  <c r="F11" i="23"/>
  <c r="F12" i="23"/>
  <c r="F12" i="25" s="1"/>
  <c r="F13" i="23"/>
  <c r="F14" i="23"/>
  <c r="F14" i="25" s="1"/>
  <c r="F16" i="23"/>
  <c r="F17" i="23"/>
  <c r="F17" i="25" s="1"/>
  <c r="F18" i="23"/>
  <c r="F19" i="23"/>
  <c r="F19" i="25" s="1"/>
  <c r="F20" i="23"/>
  <c r="F21" i="23"/>
  <c r="F21" i="25" s="1"/>
  <c r="F22" i="23"/>
  <c r="F23" i="23"/>
  <c r="F23" i="25" s="1"/>
  <c r="F24" i="23"/>
  <c r="F25" i="23"/>
  <c r="F25" i="25" s="1"/>
  <c r="L26" i="23"/>
  <c r="F27" i="23"/>
  <c r="F27" i="25" s="1"/>
  <c r="F28" i="23"/>
  <c r="F29" i="23"/>
  <c r="F29" i="25" s="1"/>
  <c r="F30" i="23"/>
  <c r="F31" i="23"/>
  <c r="F31" i="25" s="1"/>
  <c r="F32" i="23"/>
  <c r="F33" i="23"/>
  <c r="F33" i="25" s="1"/>
  <c r="F34" i="23"/>
  <c r="F39" i="23"/>
  <c r="F42" i="23"/>
  <c r="M42" i="23" s="1"/>
  <c r="L43" i="23"/>
  <c r="F49" i="23"/>
  <c r="F50" i="23"/>
  <c r="F50" i="25" s="1"/>
  <c r="L52" i="23"/>
  <c r="H46" i="23"/>
  <c r="K46" i="23" s="1"/>
  <c r="J46" i="23"/>
  <c r="L46" i="23"/>
  <c r="M46" i="23"/>
  <c r="H45" i="23"/>
  <c r="K45" i="23" s="1"/>
  <c r="J45" i="23"/>
  <c r="M45" i="23"/>
  <c r="M57" i="23"/>
  <c r="M55" i="23"/>
  <c r="M52" i="23"/>
  <c r="M50" i="23"/>
  <c r="M48" i="23"/>
  <c r="M44" i="23"/>
  <c r="M40" i="23"/>
  <c r="M38" i="23"/>
  <c r="M36" i="23"/>
  <c r="M33" i="23"/>
  <c r="M29" i="23"/>
  <c r="M27" i="23"/>
  <c r="M25" i="23"/>
  <c r="M23" i="23"/>
  <c r="M21" i="23"/>
  <c r="M19" i="23"/>
  <c r="M17" i="23"/>
  <c r="M15" i="23"/>
  <c r="M13" i="23"/>
  <c r="M9" i="23"/>
  <c r="M7" i="23"/>
  <c r="L5" i="23"/>
  <c r="J64" i="23"/>
  <c r="J62" i="23"/>
  <c r="J61" i="23"/>
  <c r="J60" i="23"/>
  <c r="M58" i="23"/>
  <c r="L58" i="23"/>
  <c r="J58" i="23"/>
  <c r="H58" i="23"/>
  <c r="K58" i="23" s="1"/>
  <c r="L57" i="23"/>
  <c r="J57" i="23"/>
  <c r="M56" i="23"/>
  <c r="L56" i="23"/>
  <c r="J56" i="23"/>
  <c r="H56" i="23"/>
  <c r="K56" i="23" s="1"/>
  <c r="L55" i="23"/>
  <c r="J55" i="23"/>
  <c r="M53" i="23"/>
  <c r="L53" i="23"/>
  <c r="J53" i="23"/>
  <c r="H53" i="23"/>
  <c r="K53" i="23" s="1"/>
  <c r="J52" i="23"/>
  <c r="M51" i="23"/>
  <c r="L51" i="23"/>
  <c r="J51" i="23"/>
  <c r="H51" i="23"/>
  <c r="K51" i="23" s="1"/>
  <c r="L50" i="23"/>
  <c r="J50" i="23"/>
  <c r="M49" i="23"/>
  <c r="J49" i="23"/>
  <c r="H49" i="23"/>
  <c r="K49" i="23" s="1"/>
  <c r="L48" i="23"/>
  <c r="J48" i="23"/>
  <c r="M47" i="23"/>
  <c r="L47" i="23"/>
  <c r="J47" i="23"/>
  <c r="H47" i="23"/>
  <c r="K47" i="23" s="1"/>
  <c r="L44" i="23"/>
  <c r="J44" i="23"/>
  <c r="M43" i="23"/>
  <c r="J43" i="23"/>
  <c r="H43" i="23"/>
  <c r="K43" i="23" s="1"/>
  <c r="L42" i="23"/>
  <c r="J42" i="23"/>
  <c r="M41" i="23"/>
  <c r="L41" i="23"/>
  <c r="J41" i="23"/>
  <c r="H41" i="23"/>
  <c r="K41" i="23" s="1"/>
  <c r="L40" i="23"/>
  <c r="J40" i="23"/>
  <c r="M39" i="23"/>
  <c r="J39" i="23"/>
  <c r="H39" i="23"/>
  <c r="K39" i="23" s="1"/>
  <c r="L38" i="23"/>
  <c r="J38" i="23"/>
  <c r="M37" i="23"/>
  <c r="L37" i="23"/>
  <c r="J37" i="23"/>
  <c r="H37" i="23"/>
  <c r="K37" i="23" s="1"/>
  <c r="L36" i="23"/>
  <c r="J36" i="23"/>
  <c r="M34" i="23"/>
  <c r="J34" i="23"/>
  <c r="H34" i="23"/>
  <c r="K34" i="23" s="1"/>
  <c r="L33" i="23"/>
  <c r="J33" i="23"/>
  <c r="M32" i="23"/>
  <c r="J32" i="23"/>
  <c r="H32" i="23"/>
  <c r="K32" i="23" s="1"/>
  <c r="L31" i="23"/>
  <c r="J31" i="23"/>
  <c r="M30" i="23"/>
  <c r="J30" i="23"/>
  <c r="H30" i="23"/>
  <c r="K30" i="23" s="1"/>
  <c r="L29" i="23"/>
  <c r="J29" i="23"/>
  <c r="M28" i="23"/>
  <c r="J28" i="23"/>
  <c r="H28" i="23"/>
  <c r="K28" i="23" s="1"/>
  <c r="L27" i="23"/>
  <c r="J27" i="23"/>
  <c r="M26" i="23"/>
  <c r="J26" i="23"/>
  <c r="H26" i="23"/>
  <c r="K26" i="23" s="1"/>
  <c r="L25" i="23"/>
  <c r="J25" i="23"/>
  <c r="M24" i="23"/>
  <c r="J24" i="23"/>
  <c r="H24" i="23"/>
  <c r="K24" i="23" s="1"/>
  <c r="L23" i="23"/>
  <c r="J23" i="23"/>
  <c r="M22" i="23"/>
  <c r="J22" i="23"/>
  <c r="H22" i="23"/>
  <c r="K22" i="23" s="1"/>
  <c r="L21" i="23"/>
  <c r="J21" i="23"/>
  <c r="M20" i="23"/>
  <c r="J20" i="23"/>
  <c r="H20" i="23"/>
  <c r="K20" i="23" s="1"/>
  <c r="L19" i="23"/>
  <c r="J19" i="23"/>
  <c r="M18" i="23"/>
  <c r="J18" i="23"/>
  <c r="H18" i="23"/>
  <c r="K18" i="23" s="1"/>
  <c r="L17" i="23"/>
  <c r="J17" i="23"/>
  <c r="M16" i="23"/>
  <c r="J16" i="23"/>
  <c r="H16" i="23"/>
  <c r="K16" i="23" s="1"/>
  <c r="L15" i="23"/>
  <c r="J15" i="23"/>
  <c r="M14" i="23"/>
  <c r="L14" i="23"/>
  <c r="J14" i="23"/>
  <c r="H14" i="23"/>
  <c r="K14" i="23" s="1"/>
  <c r="J13" i="23"/>
  <c r="M12" i="23"/>
  <c r="L12" i="23"/>
  <c r="J12" i="23"/>
  <c r="H12" i="23"/>
  <c r="K12" i="23" s="1"/>
  <c r="J11" i="23"/>
  <c r="M10" i="23"/>
  <c r="L10" i="23"/>
  <c r="J10" i="23"/>
  <c r="H10" i="23"/>
  <c r="K10" i="23" s="1"/>
  <c r="J9" i="23"/>
  <c r="M8" i="23"/>
  <c r="L8" i="23"/>
  <c r="J8" i="23"/>
  <c r="H8" i="23"/>
  <c r="K8" i="23" s="1"/>
  <c r="L7" i="23"/>
  <c r="J7" i="23"/>
  <c r="M6" i="23"/>
  <c r="J6" i="23"/>
  <c r="H6" i="23"/>
  <c r="K6" i="23" s="1"/>
  <c r="M5" i="23"/>
  <c r="J5" i="23"/>
  <c r="M31" i="23" l="1"/>
  <c r="H50" i="25"/>
  <c r="K50" i="25" s="1"/>
  <c r="L50" i="25"/>
  <c r="M50" i="25"/>
  <c r="L39" i="23"/>
  <c r="F39" i="25"/>
  <c r="H33" i="25"/>
  <c r="K33" i="25" s="1"/>
  <c r="L33" i="25"/>
  <c r="M33" i="25"/>
  <c r="H31" i="25"/>
  <c r="K31" i="25" s="1"/>
  <c r="L31" i="25"/>
  <c r="M31" i="25"/>
  <c r="H29" i="25"/>
  <c r="K29" i="25" s="1"/>
  <c r="M29" i="25"/>
  <c r="L29" i="25"/>
  <c r="H27" i="25"/>
  <c r="K27" i="25" s="1"/>
  <c r="L27" i="25"/>
  <c r="M27" i="25"/>
  <c r="H25" i="25"/>
  <c r="K25" i="25" s="1"/>
  <c r="L25" i="25"/>
  <c r="M25" i="25"/>
  <c r="H23" i="25"/>
  <c r="K23" i="25" s="1"/>
  <c r="L23" i="25"/>
  <c r="M23" i="25"/>
  <c r="H21" i="25"/>
  <c r="K21" i="25" s="1"/>
  <c r="M21" i="25"/>
  <c r="L21" i="25"/>
  <c r="H19" i="25"/>
  <c r="K19" i="25" s="1"/>
  <c r="L19" i="25"/>
  <c r="M19" i="25"/>
  <c r="H17" i="25"/>
  <c r="K17" i="25" s="1"/>
  <c r="M17" i="25"/>
  <c r="L17" i="25"/>
  <c r="H14" i="25"/>
  <c r="K14" i="25" s="1"/>
  <c r="L14" i="25"/>
  <c r="M14" i="25"/>
  <c r="H12" i="25"/>
  <c r="K12" i="25" s="1"/>
  <c r="M12" i="25"/>
  <c r="L12" i="25"/>
  <c r="H10" i="25"/>
  <c r="K10" i="25" s="1"/>
  <c r="L10" i="25"/>
  <c r="M10" i="25"/>
  <c r="H7" i="25"/>
  <c r="K7" i="25" s="1"/>
  <c r="L7" i="25"/>
  <c r="M7" i="25"/>
  <c r="L49" i="23"/>
  <c r="F49" i="25"/>
  <c r="L34" i="23"/>
  <c r="F34" i="25"/>
  <c r="L32" i="23"/>
  <c r="F32" i="25"/>
  <c r="L30" i="23"/>
  <c r="F30" i="25"/>
  <c r="L28" i="23"/>
  <c r="F28" i="25"/>
  <c r="L24" i="23"/>
  <c r="F24" i="25"/>
  <c r="L22" i="23"/>
  <c r="F22" i="25"/>
  <c r="L20" i="23"/>
  <c r="F20" i="25"/>
  <c r="L18" i="23"/>
  <c r="F18" i="25"/>
  <c r="L16" i="23"/>
  <c r="F16" i="25"/>
  <c r="L13" i="23"/>
  <c r="F13" i="25"/>
  <c r="M11" i="23"/>
  <c r="F11" i="25"/>
  <c r="L6" i="23"/>
  <c r="F6" i="25"/>
  <c r="J65" i="23"/>
  <c r="I65" i="23"/>
  <c r="L11" i="23"/>
  <c r="L45" i="23"/>
  <c r="M65" i="23"/>
  <c r="K5" i="23"/>
  <c r="H7" i="23"/>
  <c r="K7" i="23" s="1"/>
  <c r="H9" i="23"/>
  <c r="K9" i="23" s="1"/>
  <c r="H11" i="23"/>
  <c r="K11" i="23" s="1"/>
  <c r="H13" i="23"/>
  <c r="K13" i="23" s="1"/>
  <c r="H15" i="23"/>
  <c r="K15" i="23" s="1"/>
  <c r="H17" i="23"/>
  <c r="K17" i="23" s="1"/>
  <c r="H19" i="23"/>
  <c r="K19" i="23" s="1"/>
  <c r="H21" i="23"/>
  <c r="K21" i="23" s="1"/>
  <c r="H23" i="23"/>
  <c r="K23" i="23" s="1"/>
  <c r="H25" i="23"/>
  <c r="K25" i="23" s="1"/>
  <c r="H27" i="23"/>
  <c r="K27" i="23" s="1"/>
  <c r="H29" i="23"/>
  <c r="K29" i="23" s="1"/>
  <c r="H31" i="23"/>
  <c r="K31" i="23" s="1"/>
  <c r="H33" i="23"/>
  <c r="K33" i="23" s="1"/>
  <c r="H36" i="23"/>
  <c r="K36" i="23" s="1"/>
  <c r="H38" i="23"/>
  <c r="K38" i="23" s="1"/>
  <c r="H40" i="23"/>
  <c r="K40" i="23" s="1"/>
  <c r="H42" i="23"/>
  <c r="K42" i="23" s="1"/>
  <c r="H44" i="23"/>
  <c r="K44" i="23" s="1"/>
  <c r="H48" i="23"/>
  <c r="K48" i="23" s="1"/>
  <c r="H50" i="23"/>
  <c r="K50" i="23" s="1"/>
  <c r="H52" i="23"/>
  <c r="K52" i="23" s="1"/>
  <c r="H55" i="23"/>
  <c r="K55" i="23" s="1"/>
  <c r="H57" i="23"/>
  <c r="K57" i="23" s="1"/>
  <c r="G73" i="23"/>
  <c r="G75" i="23" s="1"/>
  <c r="H6" i="25" l="1"/>
  <c r="K6" i="25" s="1"/>
  <c r="L6" i="25"/>
  <c r="M6" i="25"/>
  <c r="H11" i="25"/>
  <c r="K11" i="25" s="1"/>
  <c r="L11" i="25"/>
  <c r="M11" i="25"/>
  <c r="H13" i="25"/>
  <c r="K13" i="25" s="1"/>
  <c r="M13" i="25"/>
  <c r="L13" i="25"/>
  <c r="H16" i="25"/>
  <c r="K16" i="25" s="1"/>
  <c r="L16" i="25"/>
  <c r="M16" i="25"/>
  <c r="H18" i="25"/>
  <c r="K18" i="25" s="1"/>
  <c r="L18" i="25"/>
  <c r="M18" i="25"/>
  <c r="H20" i="25"/>
  <c r="K20" i="25" s="1"/>
  <c r="L20" i="25"/>
  <c r="M20" i="25"/>
  <c r="H22" i="25"/>
  <c r="K22" i="25" s="1"/>
  <c r="L22" i="25"/>
  <c r="M22" i="25"/>
  <c r="H24" i="25"/>
  <c r="K24" i="25" s="1"/>
  <c r="L24" i="25"/>
  <c r="M24" i="25"/>
  <c r="H28" i="25"/>
  <c r="K28" i="25" s="1"/>
  <c r="L28" i="25"/>
  <c r="M28" i="25"/>
  <c r="H30" i="25"/>
  <c r="K30" i="25" s="1"/>
  <c r="L30" i="25"/>
  <c r="M30" i="25"/>
  <c r="H32" i="25"/>
  <c r="K32" i="25" s="1"/>
  <c r="L32" i="25"/>
  <c r="M32" i="25"/>
  <c r="H34" i="25"/>
  <c r="K34" i="25" s="1"/>
  <c r="L34" i="25"/>
  <c r="M34" i="25"/>
  <c r="H49" i="25"/>
  <c r="K49" i="25" s="1"/>
  <c r="L49" i="25"/>
  <c r="M49" i="25"/>
  <c r="L65" i="23"/>
  <c r="H39" i="25"/>
  <c r="K39" i="25" s="1"/>
  <c r="L39" i="25"/>
  <c r="M39" i="25"/>
  <c r="K65" i="23"/>
  <c r="L65" i="25" l="1"/>
  <c r="M65" i="25"/>
  <c r="K65" i="25"/>
  <c r="H42" i="21"/>
  <c r="K42" i="21" s="1"/>
  <c r="I42" i="21"/>
  <c r="J42" i="21"/>
  <c r="L42" i="21"/>
  <c r="M42" i="21"/>
  <c r="H65" i="21" l="1"/>
  <c r="J58" i="21"/>
  <c r="I58" i="21"/>
  <c r="J57" i="21"/>
  <c r="I57" i="21"/>
  <c r="J56" i="21"/>
  <c r="I56" i="21"/>
  <c r="J55" i="21"/>
  <c r="I55" i="21"/>
  <c r="L54" i="21"/>
  <c r="J54" i="21"/>
  <c r="I54" i="21"/>
  <c r="H54" i="21"/>
  <c r="K54" i="21" s="1"/>
  <c r="M54" i="21"/>
  <c r="J53" i="21"/>
  <c r="I53" i="21"/>
  <c r="L53" i="21"/>
  <c r="L52" i="21"/>
  <c r="J52" i="21"/>
  <c r="I52" i="21"/>
  <c r="H52" i="21"/>
  <c r="K52" i="21" s="1"/>
  <c r="M52" i="21"/>
  <c r="J51" i="21"/>
  <c r="I51" i="21"/>
  <c r="L51" i="21"/>
  <c r="L50" i="21"/>
  <c r="J50" i="21"/>
  <c r="I50" i="21"/>
  <c r="H50" i="21"/>
  <c r="K50" i="21" s="1"/>
  <c r="M50" i="21"/>
  <c r="J49" i="21"/>
  <c r="I49" i="21"/>
  <c r="L49" i="21"/>
  <c r="L48" i="21"/>
  <c r="J48" i="21"/>
  <c r="I48" i="21"/>
  <c r="H48" i="21"/>
  <c r="K48" i="21" s="1"/>
  <c r="M48" i="21"/>
  <c r="J47" i="21"/>
  <c r="I47" i="21"/>
  <c r="L47" i="21"/>
  <c r="L46" i="21"/>
  <c r="J46" i="21"/>
  <c r="I46" i="21"/>
  <c r="H46" i="21"/>
  <c r="K46" i="21" s="1"/>
  <c r="M46" i="21"/>
  <c r="J45" i="21"/>
  <c r="I45" i="21"/>
  <c r="L45" i="21"/>
  <c r="L44" i="21"/>
  <c r="J44" i="21"/>
  <c r="I44" i="21"/>
  <c r="H44" i="21"/>
  <c r="K44" i="21" s="1"/>
  <c r="M44" i="21"/>
  <c r="J43" i="21"/>
  <c r="I43" i="21"/>
  <c r="L43" i="21"/>
  <c r="L41" i="21"/>
  <c r="J41" i="21"/>
  <c r="I41" i="21"/>
  <c r="H41" i="21"/>
  <c r="K41" i="21" s="1"/>
  <c r="M41" i="21"/>
  <c r="J40" i="21"/>
  <c r="I40" i="21"/>
  <c r="L40" i="21"/>
  <c r="L39" i="21"/>
  <c r="J39" i="21"/>
  <c r="I39" i="21"/>
  <c r="H39" i="21"/>
  <c r="K39" i="21" s="1"/>
  <c r="M39" i="21"/>
  <c r="J38" i="21"/>
  <c r="I38" i="21"/>
  <c r="L38" i="21"/>
  <c r="L37" i="21"/>
  <c r="J37" i="21"/>
  <c r="I37" i="21"/>
  <c r="H37" i="21"/>
  <c r="K37" i="21" s="1"/>
  <c r="M37" i="21"/>
  <c r="J36" i="21"/>
  <c r="I36" i="21"/>
  <c r="L36" i="21"/>
  <c r="L35" i="21"/>
  <c r="J35" i="21"/>
  <c r="I35" i="21"/>
  <c r="H35" i="21"/>
  <c r="K35" i="21" s="1"/>
  <c r="M35" i="21"/>
  <c r="J34" i="21"/>
  <c r="I34" i="21"/>
  <c r="L34" i="21"/>
  <c r="L33" i="21"/>
  <c r="J33" i="21"/>
  <c r="I33" i="21"/>
  <c r="H33" i="21"/>
  <c r="K33" i="21" s="1"/>
  <c r="M33" i="21"/>
  <c r="J32" i="21"/>
  <c r="I32" i="21"/>
  <c r="L32" i="21"/>
  <c r="L31" i="21"/>
  <c r="J31" i="21"/>
  <c r="I31" i="21"/>
  <c r="H31" i="21"/>
  <c r="K31" i="21" s="1"/>
  <c r="M31" i="21"/>
  <c r="J30" i="21"/>
  <c r="I30" i="21"/>
  <c r="L30" i="21"/>
  <c r="L29" i="21"/>
  <c r="J29" i="21"/>
  <c r="I29" i="21"/>
  <c r="H29" i="21"/>
  <c r="K29" i="21" s="1"/>
  <c r="M29" i="21"/>
  <c r="J28" i="21"/>
  <c r="I28" i="21"/>
  <c r="L28" i="21"/>
  <c r="L27" i="21"/>
  <c r="J27" i="21"/>
  <c r="I27" i="21"/>
  <c r="H27" i="21"/>
  <c r="K27" i="21" s="1"/>
  <c r="M27" i="21"/>
  <c r="J26" i="21"/>
  <c r="I26" i="21"/>
  <c r="L25" i="21"/>
  <c r="J25" i="21"/>
  <c r="I25" i="21"/>
  <c r="H25" i="21"/>
  <c r="K25" i="21" s="1"/>
  <c r="M25" i="21"/>
  <c r="J24" i="21"/>
  <c r="I24" i="21"/>
  <c r="L23" i="21"/>
  <c r="J23" i="21"/>
  <c r="I23" i="21"/>
  <c r="H23" i="21"/>
  <c r="K23" i="21" s="1"/>
  <c r="M23" i="21"/>
  <c r="J22" i="21"/>
  <c r="I22" i="21"/>
  <c r="L21" i="21"/>
  <c r="J21" i="21"/>
  <c r="I21" i="21"/>
  <c r="H21" i="21"/>
  <c r="K21" i="21" s="1"/>
  <c r="M21" i="21"/>
  <c r="J20" i="21"/>
  <c r="I20" i="21"/>
  <c r="L19" i="21"/>
  <c r="J19" i="21"/>
  <c r="I19" i="21"/>
  <c r="H19" i="21"/>
  <c r="K19" i="21" s="1"/>
  <c r="M19" i="21"/>
  <c r="J18" i="21"/>
  <c r="I18" i="21"/>
  <c r="J17" i="21"/>
  <c r="I17" i="21"/>
  <c r="H17" i="21"/>
  <c r="K17" i="21" s="1"/>
  <c r="M17" i="21"/>
  <c r="J16" i="21"/>
  <c r="I16" i="21"/>
  <c r="M16" i="21"/>
  <c r="L15" i="21"/>
  <c r="J15" i="21"/>
  <c r="I15" i="21"/>
  <c r="H15" i="21"/>
  <c r="K15" i="21" s="1"/>
  <c r="M15" i="21"/>
  <c r="J14" i="21"/>
  <c r="I14" i="21"/>
  <c r="M14" i="21"/>
  <c r="L13" i="21"/>
  <c r="J13" i="21"/>
  <c r="I13" i="21"/>
  <c r="H13" i="21"/>
  <c r="K13" i="21" s="1"/>
  <c r="M13" i="21"/>
  <c r="J12" i="21"/>
  <c r="I12" i="21"/>
  <c r="M12" i="21"/>
  <c r="L11" i="21"/>
  <c r="J11" i="21"/>
  <c r="I11" i="21"/>
  <c r="H11" i="21"/>
  <c r="K11" i="21" s="1"/>
  <c r="M11" i="21"/>
  <c r="J10" i="21"/>
  <c r="I10" i="21"/>
  <c r="M10" i="21"/>
  <c r="L9" i="21"/>
  <c r="J9" i="21"/>
  <c r="I9" i="21"/>
  <c r="H9" i="21"/>
  <c r="K9" i="21" s="1"/>
  <c r="M9" i="21"/>
  <c r="J8" i="21"/>
  <c r="I8" i="21"/>
  <c r="M8" i="21"/>
  <c r="L7" i="21"/>
  <c r="J7" i="21"/>
  <c r="I7" i="21"/>
  <c r="H7" i="21"/>
  <c r="K7" i="21" s="1"/>
  <c r="M7" i="21"/>
  <c r="J6" i="21"/>
  <c r="I6" i="21"/>
  <c r="M6" i="21"/>
  <c r="L5" i="21"/>
  <c r="J5" i="21"/>
  <c r="I5" i="21"/>
  <c r="H5" i="21"/>
  <c r="K5" i="21" s="1"/>
  <c r="M5" i="21"/>
  <c r="F57" i="19"/>
  <c r="F56" i="19"/>
  <c r="H56" i="19" s="1"/>
  <c r="F55" i="19"/>
  <c r="F54" i="19"/>
  <c r="H54" i="19" s="1"/>
  <c r="F5" i="19"/>
  <c r="H6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4" i="19"/>
  <c r="I34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M5" i="19"/>
  <c r="L5" i="19"/>
  <c r="J5" i="19"/>
  <c r="I5" i="19"/>
  <c r="H5" i="19"/>
  <c r="K5" i="19" s="1"/>
  <c r="F10" i="17"/>
  <c r="M10" i="17" s="1"/>
  <c r="H65" i="17"/>
  <c r="J57" i="17"/>
  <c r="I57" i="17"/>
  <c r="H57" i="17"/>
  <c r="J56" i="17"/>
  <c r="I56" i="17"/>
  <c r="H56" i="17"/>
  <c r="J55" i="17"/>
  <c r="I55" i="17"/>
  <c r="H55" i="17"/>
  <c r="J54" i="17"/>
  <c r="I54" i="17"/>
  <c r="H54" i="17"/>
  <c r="J53" i="17"/>
  <c r="I53" i="17"/>
  <c r="F53" i="17"/>
  <c r="M53" i="17" s="1"/>
  <c r="J52" i="17"/>
  <c r="I52" i="17"/>
  <c r="F52" i="17"/>
  <c r="M52" i="17" s="1"/>
  <c r="J51" i="17"/>
  <c r="I51" i="17"/>
  <c r="F51" i="17"/>
  <c r="M51" i="17" s="1"/>
  <c r="J50" i="17"/>
  <c r="I50" i="17"/>
  <c r="F50" i="17"/>
  <c r="M50" i="17" s="1"/>
  <c r="J49" i="17"/>
  <c r="I49" i="17"/>
  <c r="F49" i="17"/>
  <c r="M49" i="17" s="1"/>
  <c r="J48" i="17"/>
  <c r="I48" i="17"/>
  <c r="F48" i="17"/>
  <c r="M48" i="17" s="1"/>
  <c r="J47" i="17"/>
  <c r="I47" i="17"/>
  <c r="F47" i="17"/>
  <c r="M47" i="17" s="1"/>
  <c r="J46" i="17"/>
  <c r="I46" i="17"/>
  <c r="F46" i="17"/>
  <c r="M46" i="17" s="1"/>
  <c r="J45" i="17"/>
  <c r="I45" i="17"/>
  <c r="F45" i="17"/>
  <c r="M45" i="17" s="1"/>
  <c r="J44" i="17"/>
  <c r="I44" i="17"/>
  <c r="F44" i="17"/>
  <c r="M44" i="17" s="1"/>
  <c r="J43" i="17"/>
  <c r="I43" i="17"/>
  <c r="F43" i="17"/>
  <c r="M43" i="17" s="1"/>
  <c r="J42" i="17"/>
  <c r="I42" i="17"/>
  <c r="F42" i="17"/>
  <c r="M42" i="17" s="1"/>
  <c r="J41" i="17"/>
  <c r="I41" i="17"/>
  <c r="F41" i="17"/>
  <c r="M41" i="17" s="1"/>
  <c r="J40" i="17"/>
  <c r="I40" i="17"/>
  <c r="M40" i="17"/>
  <c r="J39" i="17"/>
  <c r="I39" i="17"/>
  <c r="F39" i="17"/>
  <c r="M39" i="17" s="1"/>
  <c r="J38" i="17"/>
  <c r="I38" i="17"/>
  <c r="F38" i="17"/>
  <c r="M38" i="17" s="1"/>
  <c r="J37" i="17"/>
  <c r="I37" i="17"/>
  <c r="F37" i="17"/>
  <c r="M37" i="17" s="1"/>
  <c r="J36" i="17"/>
  <c r="I36" i="17"/>
  <c r="F36" i="17"/>
  <c r="M36" i="17" s="1"/>
  <c r="J35" i="17"/>
  <c r="I35" i="17"/>
  <c r="F35" i="17"/>
  <c r="M35" i="17" s="1"/>
  <c r="J34" i="17"/>
  <c r="I34" i="17"/>
  <c r="F34" i="17"/>
  <c r="M34" i="17" s="1"/>
  <c r="J33" i="17"/>
  <c r="I33" i="17"/>
  <c r="F33" i="17"/>
  <c r="M33" i="17" s="1"/>
  <c r="J32" i="17"/>
  <c r="I32" i="17"/>
  <c r="F32" i="17"/>
  <c r="M32" i="17" s="1"/>
  <c r="J31" i="17"/>
  <c r="I31" i="17"/>
  <c r="F31" i="17"/>
  <c r="M31" i="17" s="1"/>
  <c r="J30" i="17"/>
  <c r="I30" i="17"/>
  <c r="F30" i="17"/>
  <c r="M30" i="17" s="1"/>
  <c r="J29" i="17"/>
  <c r="I29" i="17"/>
  <c r="F29" i="17"/>
  <c r="M29" i="17" s="1"/>
  <c r="J28" i="17"/>
  <c r="I28" i="17"/>
  <c r="F28" i="17"/>
  <c r="M28" i="17" s="1"/>
  <c r="J27" i="17"/>
  <c r="I27" i="17"/>
  <c r="F27" i="17"/>
  <c r="M27" i="17" s="1"/>
  <c r="J26" i="17"/>
  <c r="I26" i="17"/>
  <c r="F26" i="17"/>
  <c r="M26" i="17" s="1"/>
  <c r="J25" i="17"/>
  <c r="I25" i="17"/>
  <c r="F25" i="17"/>
  <c r="M25" i="17" s="1"/>
  <c r="J24" i="17"/>
  <c r="I24" i="17"/>
  <c r="F24" i="17"/>
  <c r="M24" i="17" s="1"/>
  <c r="J23" i="17"/>
  <c r="I23" i="17"/>
  <c r="F23" i="17"/>
  <c r="M23" i="17" s="1"/>
  <c r="J22" i="17"/>
  <c r="I22" i="17"/>
  <c r="F22" i="17"/>
  <c r="L22" i="17" s="1"/>
  <c r="J21" i="17"/>
  <c r="I21" i="17"/>
  <c r="F21" i="17"/>
  <c r="M21" i="17" s="1"/>
  <c r="J20" i="17"/>
  <c r="I20" i="17"/>
  <c r="F20" i="17"/>
  <c r="L20" i="17" s="1"/>
  <c r="J19" i="17"/>
  <c r="I19" i="17"/>
  <c r="F19" i="17"/>
  <c r="M19" i="17" s="1"/>
  <c r="J18" i="17"/>
  <c r="I18" i="17"/>
  <c r="F18" i="17"/>
  <c r="L18" i="17" s="1"/>
  <c r="J17" i="17"/>
  <c r="I17" i="17"/>
  <c r="F17" i="17"/>
  <c r="M17" i="17" s="1"/>
  <c r="J16" i="17"/>
  <c r="I16" i="17"/>
  <c r="F16" i="17"/>
  <c r="M16" i="17" s="1"/>
  <c r="J15" i="17"/>
  <c r="I15" i="17"/>
  <c r="F15" i="17"/>
  <c r="M15" i="17" s="1"/>
  <c r="J14" i="17"/>
  <c r="I14" i="17"/>
  <c r="F14" i="17"/>
  <c r="L14" i="17" s="1"/>
  <c r="J13" i="17"/>
  <c r="I13" i="17"/>
  <c r="F13" i="17"/>
  <c r="M13" i="17" s="1"/>
  <c r="J12" i="17"/>
  <c r="I12" i="17"/>
  <c r="F12" i="17"/>
  <c r="M12" i="17" s="1"/>
  <c r="J11" i="17"/>
  <c r="I11" i="17"/>
  <c r="F11" i="17"/>
  <c r="M11" i="17" s="1"/>
  <c r="J10" i="17"/>
  <c r="I10" i="17"/>
  <c r="J9" i="17"/>
  <c r="I9" i="17"/>
  <c r="F9" i="17"/>
  <c r="M9" i="17" s="1"/>
  <c r="J8" i="17"/>
  <c r="I8" i="17"/>
  <c r="F8" i="17"/>
  <c r="M8" i="17" s="1"/>
  <c r="J7" i="17"/>
  <c r="I7" i="17"/>
  <c r="F7" i="17"/>
  <c r="M7" i="17" s="1"/>
  <c r="J6" i="17"/>
  <c r="I6" i="17"/>
  <c r="F6" i="17"/>
  <c r="M6" i="17" s="1"/>
  <c r="L5" i="17"/>
  <c r="J5" i="17"/>
  <c r="I5" i="17"/>
  <c r="H5" i="17"/>
  <c r="K5" i="17" s="1"/>
  <c r="M5" i="17"/>
  <c r="I59" i="21" l="1"/>
  <c r="H6" i="21"/>
  <c r="K6" i="21" s="1"/>
  <c r="L6" i="21"/>
  <c r="H8" i="21"/>
  <c r="K8" i="21" s="1"/>
  <c r="L8" i="21"/>
  <c r="H10" i="21"/>
  <c r="K10" i="21" s="1"/>
  <c r="L10" i="21"/>
  <c r="H12" i="21"/>
  <c r="K12" i="21" s="1"/>
  <c r="L12" i="21"/>
  <c r="H14" i="21"/>
  <c r="K14" i="21" s="1"/>
  <c r="L14" i="21"/>
  <c r="H16" i="21"/>
  <c r="K16" i="21" s="1"/>
  <c r="L16" i="21"/>
  <c r="L17" i="21"/>
  <c r="J59" i="21"/>
  <c r="G67" i="21"/>
  <c r="G69" i="21" s="1"/>
  <c r="L18" i="21"/>
  <c r="H18" i="21"/>
  <c r="K18" i="21" s="1"/>
  <c r="M18" i="21"/>
  <c r="L20" i="21"/>
  <c r="H20" i="21"/>
  <c r="K20" i="21" s="1"/>
  <c r="M20" i="21"/>
  <c r="L22" i="21"/>
  <c r="H22" i="21"/>
  <c r="K22" i="21" s="1"/>
  <c r="M22" i="21"/>
  <c r="L24" i="21"/>
  <c r="H24" i="21"/>
  <c r="K24" i="21" s="1"/>
  <c r="M24" i="21"/>
  <c r="L26" i="21"/>
  <c r="H26" i="21"/>
  <c r="K26" i="21" s="1"/>
  <c r="M26" i="21"/>
  <c r="M28" i="21"/>
  <c r="M30" i="21"/>
  <c r="M32" i="21"/>
  <c r="M34" i="21"/>
  <c r="M36" i="21"/>
  <c r="M38" i="21"/>
  <c r="M40" i="21"/>
  <c r="M43" i="21"/>
  <c r="M45" i="21"/>
  <c r="M47" i="21"/>
  <c r="M49" i="21"/>
  <c r="M51" i="21"/>
  <c r="M53" i="21"/>
  <c r="H28" i="21"/>
  <c r="K28" i="21" s="1"/>
  <c r="H30" i="21"/>
  <c r="K30" i="21" s="1"/>
  <c r="H32" i="21"/>
  <c r="K32" i="21" s="1"/>
  <c r="H34" i="21"/>
  <c r="K34" i="21" s="1"/>
  <c r="H36" i="21"/>
  <c r="K36" i="21" s="1"/>
  <c r="H38" i="21"/>
  <c r="K38" i="21" s="1"/>
  <c r="H40" i="21"/>
  <c r="K40" i="21" s="1"/>
  <c r="H43" i="21"/>
  <c r="K43" i="21" s="1"/>
  <c r="H45" i="21"/>
  <c r="K45" i="21" s="1"/>
  <c r="H47" i="21"/>
  <c r="K47" i="21" s="1"/>
  <c r="H49" i="21"/>
  <c r="K49" i="21" s="1"/>
  <c r="H51" i="21"/>
  <c r="K51" i="21" s="1"/>
  <c r="H53" i="21"/>
  <c r="K53" i="21" s="1"/>
  <c r="H55" i="21"/>
  <c r="H56" i="21"/>
  <c r="H57" i="21"/>
  <c r="H58" i="21"/>
  <c r="I58" i="19"/>
  <c r="H55" i="19"/>
  <c r="H57" i="19"/>
  <c r="F8" i="19"/>
  <c r="M8" i="19" s="1"/>
  <c r="F10" i="19"/>
  <c r="M10" i="19" s="1"/>
  <c r="F12" i="19"/>
  <c r="M12" i="19" s="1"/>
  <c r="F14" i="19"/>
  <c r="M14" i="19" s="1"/>
  <c r="F16" i="19"/>
  <c r="M16" i="19" s="1"/>
  <c r="F18" i="19"/>
  <c r="M18" i="19" s="1"/>
  <c r="F20" i="19"/>
  <c r="M20" i="19" s="1"/>
  <c r="F22" i="19"/>
  <c r="M22" i="19" s="1"/>
  <c r="F24" i="19"/>
  <c r="M24" i="19" s="1"/>
  <c r="F26" i="19"/>
  <c r="M26" i="19" s="1"/>
  <c r="F28" i="19"/>
  <c r="M28" i="19" s="1"/>
  <c r="F30" i="19"/>
  <c r="M30" i="19" s="1"/>
  <c r="F32" i="19"/>
  <c r="M32" i="19" s="1"/>
  <c r="F34" i="19"/>
  <c r="M34" i="19" s="1"/>
  <c r="F36" i="19"/>
  <c r="M36" i="19" s="1"/>
  <c r="F38" i="19"/>
  <c r="M38" i="19" s="1"/>
  <c r="M40" i="19"/>
  <c r="F42" i="19"/>
  <c r="M42" i="19" s="1"/>
  <c r="F44" i="19"/>
  <c r="M44" i="19" s="1"/>
  <c r="F46" i="19"/>
  <c r="M46" i="19" s="1"/>
  <c r="F48" i="19"/>
  <c r="M48" i="19" s="1"/>
  <c r="M50" i="19"/>
  <c r="F52" i="19"/>
  <c r="M52" i="19" s="1"/>
  <c r="F6" i="19"/>
  <c r="M6" i="19" s="1"/>
  <c r="F9" i="19"/>
  <c r="F11" i="19"/>
  <c r="F15" i="19"/>
  <c r="F17" i="19"/>
  <c r="F19" i="19"/>
  <c r="F21" i="19"/>
  <c r="F23" i="19"/>
  <c r="F25" i="19"/>
  <c r="F27" i="19"/>
  <c r="F29" i="19"/>
  <c r="F31" i="19"/>
  <c r="F33" i="19"/>
  <c r="F35" i="19"/>
  <c r="F37" i="19"/>
  <c r="F39" i="19"/>
  <c r="F41" i="19"/>
  <c r="F43" i="19"/>
  <c r="F45" i="19"/>
  <c r="F47" i="19"/>
  <c r="F49" i="19"/>
  <c r="F53" i="19"/>
  <c r="L53" i="19" s="1"/>
  <c r="F7" i="19"/>
  <c r="G66" i="19"/>
  <c r="G68" i="19" s="1"/>
  <c r="H6" i="19"/>
  <c r="K6" i="19" s="1"/>
  <c r="H10" i="19"/>
  <c r="K10" i="19" s="1"/>
  <c r="L10" i="19"/>
  <c r="H14" i="19"/>
  <c r="K14" i="19" s="1"/>
  <c r="L14" i="19"/>
  <c r="H18" i="19"/>
  <c r="K18" i="19" s="1"/>
  <c r="L18" i="19"/>
  <c r="H20" i="19"/>
  <c r="K20" i="19" s="1"/>
  <c r="H22" i="19"/>
  <c r="K22" i="19" s="1"/>
  <c r="L22" i="19"/>
  <c r="H26" i="19"/>
  <c r="K26" i="19" s="1"/>
  <c r="L26" i="19"/>
  <c r="H30" i="19"/>
  <c r="K30" i="19" s="1"/>
  <c r="L30" i="19"/>
  <c r="H34" i="19"/>
  <c r="K34" i="19" s="1"/>
  <c r="L34" i="19"/>
  <c r="H36" i="19"/>
  <c r="K36" i="19" s="1"/>
  <c r="H38" i="19"/>
  <c r="K38" i="19" s="1"/>
  <c r="L38" i="19"/>
  <c r="H42" i="19"/>
  <c r="K42" i="19" s="1"/>
  <c r="L42" i="19"/>
  <c r="H46" i="19"/>
  <c r="K46" i="19" s="1"/>
  <c r="L46" i="19"/>
  <c r="H50" i="19"/>
  <c r="K50" i="19" s="1"/>
  <c r="L50" i="19"/>
  <c r="H52" i="19"/>
  <c r="K52" i="19" s="1"/>
  <c r="M53" i="19"/>
  <c r="J58" i="19"/>
  <c r="H53" i="19"/>
  <c r="K53" i="19" s="1"/>
  <c r="G67" i="17"/>
  <c r="G69" i="17" s="1"/>
  <c r="L49" i="17"/>
  <c r="L51" i="17"/>
  <c r="L53" i="17"/>
  <c r="I58" i="17"/>
  <c r="L7" i="17"/>
  <c r="L9" i="17"/>
  <c r="L11" i="17"/>
  <c r="L13" i="17"/>
  <c r="L15" i="17"/>
  <c r="L17" i="17"/>
  <c r="L19" i="17"/>
  <c r="L21" i="17"/>
  <c r="L23" i="17"/>
  <c r="L25" i="17"/>
  <c r="L27" i="17"/>
  <c r="L29" i="17"/>
  <c r="L31" i="17"/>
  <c r="L33" i="17"/>
  <c r="L35" i="17"/>
  <c r="L37" i="17"/>
  <c r="L39" i="17"/>
  <c r="L41" i="17"/>
  <c r="L43" i="17"/>
  <c r="L45" i="17"/>
  <c r="L47" i="17"/>
  <c r="H7" i="17"/>
  <c r="K7" i="17" s="1"/>
  <c r="H9" i="17"/>
  <c r="K9" i="17" s="1"/>
  <c r="H11" i="17"/>
  <c r="K11" i="17" s="1"/>
  <c r="H13" i="17"/>
  <c r="K13" i="17" s="1"/>
  <c r="H15" i="17"/>
  <c r="K15" i="17" s="1"/>
  <c r="H17" i="17"/>
  <c r="K17" i="17" s="1"/>
  <c r="H19" i="17"/>
  <c r="K19" i="17" s="1"/>
  <c r="H21" i="17"/>
  <c r="K21" i="17" s="1"/>
  <c r="H23" i="17"/>
  <c r="K23" i="17" s="1"/>
  <c r="H25" i="17"/>
  <c r="K25" i="17" s="1"/>
  <c r="H27" i="17"/>
  <c r="K27" i="17" s="1"/>
  <c r="H29" i="17"/>
  <c r="K29" i="17" s="1"/>
  <c r="H31" i="17"/>
  <c r="K31" i="17" s="1"/>
  <c r="H33" i="17"/>
  <c r="K33" i="17" s="1"/>
  <c r="H35" i="17"/>
  <c r="K35" i="17" s="1"/>
  <c r="H37" i="17"/>
  <c r="K37" i="17" s="1"/>
  <c r="H39" i="17"/>
  <c r="K39" i="17" s="1"/>
  <c r="H41" i="17"/>
  <c r="K41" i="17" s="1"/>
  <c r="H43" i="17"/>
  <c r="K43" i="17" s="1"/>
  <c r="H45" i="17"/>
  <c r="K45" i="17" s="1"/>
  <c r="H47" i="17"/>
  <c r="K47" i="17" s="1"/>
  <c r="H49" i="17"/>
  <c r="K49" i="17" s="1"/>
  <c r="H51" i="17"/>
  <c r="K51" i="17" s="1"/>
  <c r="H53" i="17"/>
  <c r="K53" i="17" s="1"/>
  <c r="M14" i="17"/>
  <c r="M18" i="17"/>
  <c r="M20" i="17"/>
  <c r="M22" i="17"/>
  <c r="H6" i="17"/>
  <c r="K6" i="17" s="1"/>
  <c r="L6" i="17"/>
  <c r="H8" i="17"/>
  <c r="K8" i="17" s="1"/>
  <c r="L8" i="17"/>
  <c r="H10" i="17"/>
  <c r="K10" i="17" s="1"/>
  <c r="L10" i="17"/>
  <c r="H12" i="17"/>
  <c r="K12" i="17" s="1"/>
  <c r="L12" i="17"/>
  <c r="H14" i="17"/>
  <c r="K14" i="17" s="1"/>
  <c r="H16" i="17"/>
  <c r="K16" i="17" s="1"/>
  <c r="L16" i="17"/>
  <c r="H18" i="17"/>
  <c r="K18" i="17" s="1"/>
  <c r="H20" i="17"/>
  <c r="K20" i="17" s="1"/>
  <c r="H22" i="17"/>
  <c r="K22" i="17" s="1"/>
  <c r="H24" i="17"/>
  <c r="K24" i="17" s="1"/>
  <c r="L24" i="17"/>
  <c r="H26" i="17"/>
  <c r="K26" i="17" s="1"/>
  <c r="L26" i="17"/>
  <c r="H28" i="17"/>
  <c r="K28" i="17" s="1"/>
  <c r="L28" i="17"/>
  <c r="H30" i="17"/>
  <c r="K30" i="17" s="1"/>
  <c r="L30" i="17"/>
  <c r="H32" i="17"/>
  <c r="K32" i="17" s="1"/>
  <c r="L32" i="17"/>
  <c r="H34" i="17"/>
  <c r="K34" i="17" s="1"/>
  <c r="L34" i="17"/>
  <c r="H36" i="17"/>
  <c r="K36" i="17" s="1"/>
  <c r="L36" i="17"/>
  <c r="H38" i="17"/>
  <c r="K38" i="17" s="1"/>
  <c r="L38" i="17"/>
  <c r="K40" i="17"/>
  <c r="L40" i="17"/>
  <c r="H42" i="17"/>
  <c r="K42" i="17" s="1"/>
  <c r="L42" i="17"/>
  <c r="H44" i="17"/>
  <c r="K44" i="17" s="1"/>
  <c r="L44" i="17"/>
  <c r="H46" i="17"/>
  <c r="K46" i="17" s="1"/>
  <c r="L46" i="17"/>
  <c r="H48" i="17"/>
  <c r="K48" i="17" s="1"/>
  <c r="L48" i="17"/>
  <c r="H50" i="17"/>
  <c r="K50" i="17" s="1"/>
  <c r="L50" i="17"/>
  <c r="H52" i="17"/>
  <c r="K52" i="17" s="1"/>
  <c r="L52" i="17"/>
  <c r="J58" i="17"/>
  <c r="I11" i="5"/>
  <c r="H54" i="5"/>
  <c r="H55" i="5"/>
  <c r="H56" i="5"/>
  <c r="H57" i="5"/>
  <c r="H65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M58" i="5" l="1"/>
  <c r="M59" i="21"/>
  <c r="K59" i="21"/>
  <c r="L59" i="21"/>
  <c r="H44" i="19"/>
  <c r="K44" i="19" s="1"/>
  <c r="H28" i="19"/>
  <c r="K28" i="19" s="1"/>
  <c r="H12" i="19"/>
  <c r="K12" i="19" s="1"/>
  <c r="H48" i="19"/>
  <c r="K48" i="19" s="1"/>
  <c r="H40" i="19"/>
  <c r="K40" i="19" s="1"/>
  <c r="H32" i="19"/>
  <c r="K32" i="19" s="1"/>
  <c r="H24" i="19"/>
  <c r="K24" i="19" s="1"/>
  <c r="H16" i="19"/>
  <c r="K16" i="19" s="1"/>
  <c r="H8" i="19"/>
  <c r="K8" i="19" s="1"/>
  <c r="L52" i="19"/>
  <c r="L48" i="19"/>
  <c r="L44" i="19"/>
  <c r="L40" i="19"/>
  <c r="L36" i="19"/>
  <c r="L32" i="19"/>
  <c r="L28" i="19"/>
  <c r="L24" i="19"/>
  <c r="L20" i="19"/>
  <c r="L16" i="19"/>
  <c r="L12" i="19"/>
  <c r="L8" i="19"/>
  <c r="L6" i="19"/>
  <c r="K51" i="19"/>
  <c r="L51" i="19"/>
  <c r="M51" i="19"/>
  <c r="H47" i="19"/>
  <c r="K47" i="19" s="1"/>
  <c r="L47" i="19"/>
  <c r="M47" i="19"/>
  <c r="H43" i="19"/>
  <c r="K43" i="19" s="1"/>
  <c r="L43" i="19"/>
  <c r="M43" i="19"/>
  <c r="H39" i="19"/>
  <c r="K39" i="19" s="1"/>
  <c r="L39" i="19"/>
  <c r="M39" i="19"/>
  <c r="H35" i="19"/>
  <c r="K35" i="19" s="1"/>
  <c r="L35" i="19"/>
  <c r="M35" i="19"/>
  <c r="H31" i="19"/>
  <c r="K31" i="19" s="1"/>
  <c r="L31" i="19"/>
  <c r="M31" i="19"/>
  <c r="H27" i="19"/>
  <c r="K27" i="19" s="1"/>
  <c r="L27" i="19"/>
  <c r="M27" i="19"/>
  <c r="H23" i="19"/>
  <c r="K23" i="19" s="1"/>
  <c r="L23" i="19"/>
  <c r="M23" i="19"/>
  <c r="H19" i="19"/>
  <c r="K19" i="19" s="1"/>
  <c r="L19" i="19"/>
  <c r="M19" i="19"/>
  <c r="H15" i="19"/>
  <c r="K15" i="19" s="1"/>
  <c r="L15" i="19"/>
  <c r="M15" i="19"/>
  <c r="H11" i="19"/>
  <c r="K11" i="19" s="1"/>
  <c r="L11" i="19"/>
  <c r="M11" i="19"/>
  <c r="H49" i="19"/>
  <c r="K49" i="19" s="1"/>
  <c r="L49" i="19"/>
  <c r="M49" i="19"/>
  <c r="H45" i="19"/>
  <c r="K45" i="19" s="1"/>
  <c r="L45" i="19"/>
  <c r="M45" i="19"/>
  <c r="H41" i="19"/>
  <c r="K41" i="19" s="1"/>
  <c r="L41" i="19"/>
  <c r="M41" i="19"/>
  <c r="H37" i="19"/>
  <c r="K37" i="19" s="1"/>
  <c r="L37" i="19"/>
  <c r="M37" i="19"/>
  <c r="H33" i="19"/>
  <c r="K33" i="19" s="1"/>
  <c r="L33" i="19"/>
  <c r="M33" i="19"/>
  <c r="H29" i="19"/>
  <c r="K29" i="19" s="1"/>
  <c r="L29" i="19"/>
  <c r="M29" i="19"/>
  <c r="H25" i="19"/>
  <c r="K25" i="19" s="1"/>
  <c r="L25" i="19"/>
  <c r="M25" i="19"/>
  <c r="H21" i="19"/>
  <c r="K21" i="19" s="1"/>
  <c r="L21" i="19"/>
  <c r="M21" i="19"/>
  <c r="H17" i="19"/>
  <c r="K17" i="19" s="1"/>
  <c r="L17" i="19"/>
  <c r="M17" i="19"/>
  <c r="L13" i="19"/>
  <c r="M13" i="19"/>
  <c r="H13" i="19"/>
  <c r="K13" i="19" s="1"/>
  <c r="H9" i="19"/>
  <c r="K9" i="19" s="1"/>
  <c r="L9" i="19"/>
  <c r="M9" i="19"/>
  <c r="H7" i="19"/>
  <c r="K7" i="19" s="1"/>
  <c r="L7" i="19"/>
  <c r="M7" i="19"/>
  <c r="M58" i="17"/>
  <c r="K58" i="17"/>
  <c r="L58" i="17"/>
  <c r="L58" i="5"/>
  <c r="I2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I5" i="5"/>
  <c r="I6" i="5"/>
  <c r="I7" i="5"/>
  <c r="I8" i="5"/>
  <c r="I9" i="5"/>
  <c r="I10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H11" i="5"/>
  <c r="K11" i="5" s="1"/>
  <c r="H12" i="5"/>
  <c r="K12" i="5" s="1"/>
  <c r="H13" i="5"/>
  <c r="K13" i="5" s="1"/>
  <c r="H14" i="5"/>
  <c r="K14" i="5" s="1"/>
  <c r="H15" i="5"/>
  <c r="K15" i="5" s="1"/>
  <c r="H16" i="5"/>
  <c r="K16" i="5" s="1"/>
  <c r="H17" i="5"/>
  <c r="K17" i="5" s="1"/>
  <c r="H18" i="5"/>
  <c r="K18" i="5" s="1"/>
  <c r="H19" i="5"/>
  <c r="K19" i="5" s="1"/>
  <c r="H20" i="5"/>
  <c r="K20" i="5" s="1"/>
  <c r="H21" i="5"/>
  <c r="K21" i="5" s="1"/>
  <c r="H22" i="5"/>
  <c r="K22" i="5" s="1"/>
  <c r="H23" i="5"/>
  <c r="K23" i="5" s="1"/>
  <c r="H24" i="5"/>
  <c r="K24" i="5" s="1"/>
  <c r="H25" i="5"/>
  <c r="K25" i="5" s="1"/>
  <c r="H26" i="5"/>
  <c r="K26" i="5" s="1"/>
  <c r="H27" i="5"/>
  <c r="K27" i="5" s="1"/>
  <c r="H28" i="5"/>
  <c r="K28" i="5" s="1"/>
  <c r="H29" i="5"/>
  <c r="K29" i="5" s="1"/>
  <c r="H30" i="5"/>
  <c r="K30" i="5" s="1"/>
  <c r="H31" i="5"/>
  <c r="K31" i="5" s="1"/>
  <c r="H32" i="5"/>
  <c r="K32" i="5" s="1"/>
  <c r="H33" i="5"/>
  <c r="K33" i="5" s="1"/>
  <c r="H34" i="5"/>
  <c r="K34" i="5" s="1"/>
  <c r="H35" i="5"/>
  <c r="K35" i="5" s="1"/>
  <c r="H36" i="5"/>
  <c r="K36" i="5" s="1"/>
  <c r="H37" i="5"/>
  <c r="K37" i="5" s="1"/>
  <c r="H38" i="5"/>
  <c r="K38" i="5" s="1"/>
  <c r="H39" i="5"/>
  <c r="K39" i="5" s="1"/>
  <c r="K40" i="5"/>
  <c r="H41" i="5"/>
  <c r="K41" i="5" s="1"/>
  <c r="H42" i="5"/>
  <c r="K42" i="5" s="1"/>
  <c r="H43" i="5"/>
  <c r="K43" i="5" s="1"/>
  <c r="H44" i="5"/>
  <c r="K44" i="5" s="1"/>
  <c r="H45" i="5"/>
  <c r="K45" i="5" s="1"/>
  <c r="H46" i="5"/>
  <c r="K46" i="5" s="1"/>
  <c r="H47" i="5"/>
  <c r="K47" i="5" s="1"/>
  <c r="H48" i="5"/>
  <c r="K48" i="5" s="1"/>
  <c r="H49" i="5"/>
  <c r="K49" i="5" s="1"/>
  <c r="H50" i="5"/>
  <c r="K50" i="5" s="1"/>
  <c r="H51" i="5"/>
  <c r="K51" i="5" s="1"/>
  <c r="H52" i="5"/>
  <c r="K52" i="5" s="1"/>
  <c r="H53" i="5"/>
  <c r="K53" i="5" s="1"/>
  <c r="M58" i="19" l="1"/>
  <c r="L58" i="19"/>
  <c r="K58" i="19"/>
  <c r="K58" i="5"/>
  <c r="G67" i="5"/>
  <c r="G69" i="5" s="1"/>
  <c r="J58" i="5"/>
  <c r="I58" i="5"/>
</calcChain>
</file>

<file path=xl/sharedStrings.xml><?xml version="1.0" encoding="utf-8"?>
<sst xmlns="http://schemas.openxmlformats.org/spreadsheetml/2006/main" count="4704" uniqueCount="376">
  <si>
    <t>NO</t>
  </si>
  <si>
    <t>KODE BARANG</t>
  </si>
  <si>
    <t>NAMA BARANG</t>
  </si>
  <si>
    <t>HARGA JUAL</t>
  </si>
  <si>
    <t>STOK</t>
  </si>
  <si>
    <t>TERJUAL</t>
  </si>
  <si>
    <t>SISA</t>
  </si>
  <si>
    <t>KEUNTUNGAN</t>
  </si>
  <si>
    <t>TOTAL</t>
  </si>
  <si>
    <t>STOK BARANG TERJUAL TOKO TANI BOBATO</t>
  </si>
  <si>
    <t>DEMOLISH 100 ML</t>
  </si>
  <si>
    <t>DEMOLISH 200 ML</t>
  </si>
  <si>
    <t>PREVATHON 250 ML</t>
  </si>
  <si>
    <t>GANDASIL B 500 GRM</t>
  </si>
  <si>
    <t>GANDASIL B 100 GRM</t>
  </si>
  <si>
    <t>GANDASIL D 500 GRM</t>
  </si>
  <si>
    <t>GANDASIL D 100 GRM</t>
  </si>
  <si>
    <t>SELEDRI</t>
  </si>
  <si>
    <t>VITACIK 10 GRM</t>
  </si>
  <si>
    <t>NEBRO 10 GRM</t>
  </si>
  <si>
    <t>VITASTRES 10 GRM</t>
  </si>
  <si>
    <t>VITACIK 250 GRM</t>
  </si>
  <si>
    <t>NEBRO 250 GRM</t>
  </si>
  <si>
    <t>VITASTRES 250 GRM</t>
  </si>
  <si>
    <t>EM4 PETERNAKAN 1 LTR</t>
  </si>
  <si>
    <t>PAKANAYAM A591K</t>
  </si>
  <si>
    <t>PAKAN AYAM PER SAK</t>
  </si>
  <si>
    <t>HERBISIDA</t>
  </si>
  <si>
    <t>INSEKTISIDA</t>
  </si>
  <si>
    <t>FUNGISIDA</t>
  </si>
  <si>
    <t xml:space="preserve">PUPUK </t>
  </si>
  <si>
    <t>BIBIT</t>
  </si>
  <si>
    <t>VITAMIN AYAM</t>
  </si>
  <si>
    <t>PAKAN AYAM PD</t>
  </si>
  <si>
    <t>PAKAN AYAM PT</t>
  </si>
  <si>
    <t>ZPT</t>
  </si>
  <si>
    <t>ATONIK 500 ML</t>
  </si>
  <si>
    <t xml:space="preserve">PAKAN AYAM A594K </t>
  </si>
  <si>
    <t>DURSBAN 1 LTR</t>
  </si>
  <si>
    <t>REGENT 100 ML</t>
  </si>
  <si>
    <t>POLIBEK</t>
  </si>
  <si>
    <t>ROUNDUP 1LTR</t>
  </si>
  <si>
    <t>BASMILANG 1 LTR</t>
  </si>
  <si>
    <t>DMA-6 400 ML</t>
  </si>
  <si>
    <t>GRAMOXON 1 LTR</t>
  </si>
  <si>
    <t>NOXON 1 LTR</t>
  </si>
  <si>
    <t>CALARIS 250 ML</t>
  </si>
  <si>
    <t>LUDO 100 ML</t>
  </si>
  <si>
    <t>VIRTAKO 10 ML</t>
  </si>
  <si>
    <t>ALIKA 100 ML</t>
  </si>
  <si>
    <t>MIPCINTA 500 GRM</t>
  </si>
  <si>
    <t>DECIS 250 ML</t>
  </si>
  <si>
    <t>CORACROUN 100</t>
  </si>
  <si>
    <t>PETROGENOL 5 ML</t>
  </si>
  <si>
    <t>AMISTAR TOP 50 ML</t>
  </si>
  <si>
    <t>ANTRACOOL 1 KG</t>
  </si>
  <si>
    <t>ROTAZEB 800 GRM</t>
  </si>
  <si>
    <t>BION-M 500 GRM</t>
  </si>
  <si>
    <t>GRENTONIK 500 ML</t>
  </si>
  <si>
    <t>BAYFOLAN 500 ML</t>
  </si>
  <si>
    <t>NPK MUTIARA 1 KG</t>
  </si>
  <si>
    <t>TOMAT SERVO 150 BTR</t>
  </si>
  <si>
    <t>TOMAT BINTANG ASIA 10 GRM</t>
  </si>
  <si>
    <t>CAISIM 25 GRM</t>
  </si>
  <si>
    <t>PEPAYA CALIFORNIA 1 GRM</t>
  </si>
  <si>
    <t>TERONG 5 GRM</t>
  </si>
  <si>
    <t>PARE 10 GRM</t>
  </si>
  <si>
    <t>TIMUN HERCULES 10 GRM</t>
  </si>
  <si>
    <t>PAKAN A CURAH</t>
  </si>
  <si>
    <t>PAKAN AYAM CURAH</t>
  </si>
  <si>
    <t>POLIBEK PER LEMBAR</t>
  </si>
  <si>
    <t>POLIBEK ENCERAN</t>
  </si>
  <si>
    <t>KET</t>
  </si>
  <si>
    <t>PERIODE MARET 2020 KIOS TIDORE</t>
  </si>
  <si>
    <t>PAKAN PT CURAH</t>
  </si>
  <si>
    <t>KIOS TIDORE</t>
  </si>
  <si>
    <t>26 BTL</t>
  </si>
  <si>
    <t>NILAI</t>
  </si>
  <si>
    <t>KONSENTRAT PETELUR SAK</t>
  </si>
  <si>
    <t>POLIBEK PER KILO</t>
  </si>
  <si>
    <t>PAKAN AYAM PETELUR CURAH</t>
  </si>
  <si>
    <t>TOTAL HARGA JUAL</t>
  </si>
  <si>
    <t>BARANG LAKU</t>
  </si>
  <si>
    <t>NILAI KORTING</t>
  </si>
  <si>
    <t>(-)</t>
  </si>
  <si>
    <t>1. ROUNDUP DAN GRAMOXON</t>
  </si>
  <si>
    <t>2. PAKAN AYAM MAS GURABATI</t>
  </si>
  <si>
    <t>3. PAKAN AYAM MAS SMK</t>
  </si>
  <si>
    <t>3 SAK PAKAN AYAM PETELUR</t>
  </si>
  <si>
    <t>10 SAK PAKAN AYAM PEDAGING</t>
  </si>
  <si>
    <t>9 SAK PAKAN AYAM PEDAGING</t>
  </si>
  <si>
    <t>NILAI KORTING BULAN MARET 2020</t>
  </si>
  <si>
    <t>TOTAL HARGA SISA BARANG</t>
  </si>
  <si>
    <t>PERIODE APRIL 2020 KIOS TIDORE</t>
  </si>
  <si>
    <t>HRGA JUAL</t>
  </si>
  <si>
    <t>TOTAL HRG POKOK</t>
  </si>
  <si>
    <t>TOTAL HRG JUAL</t>
  </si>
  <si>
    <t>GAJI KARYAWAN</t>
  </si>
  <si>
    <t>TRANSPORTASI</t>
  </si>
  <si>
    <t>TOKO TANI BOBATO</t>
  </si>
  <si>
    <t>NILAI LAKU TERJUAL</t>
  </si>
  <si>
    <t>NILAI BLM TERJUAL</t>
  </si>
  <si>
    <t>PENJUALAN BERSIH</t>
  </si>
  <si>
    <t>PENDAPATAN :</t>
  </si>
  <si>
    <t>TOTAL PENDAPATAN</t>
  </si>
  <si>
    <t>BEBAN BIAYA :</t>
  </si>
  <si>
    <t>HARGA POKOK PENJUALAN</t>
  </si>
  <si>
    <t>TOTAL BEBAN</t>
  </si>
  <si>
    <t>PAJAK</t>
  </si>
  <si>
    <t>LABA BERSIH</t>
  </si>
  <si>
    <t>LAPORAN LABA RUGI PERIODE MARET 2020</t>
  </si>
  <si>
    <t>AKTIVITAS</t>
  </si>
  <si>
    <t>BEBAN ANKUT BARANG SOFIFI</t>
  </si>
  <si>
    <t>BEBAN LAIN-LAIN</t>
  </si>
  <si>
    <t>LABA PENJUALAN</t>
  </si>
  <si>
    <t>TOTAL H. B. LAKU TERJUAL</t>
  </si>
  <si>
    <t>TOTAL HARGA POKOK</t>
  </si>
  <si>
    <t xml:space="preserve">                     (+)</t>
  </si>
  <si>
    <t>1. DEMOLISH DAN MIP CINTA</t>
  </si>
  <si>
    <t>HARGA POKOK</t>
  </si>
  <si>
    <t xml:space="preserve"> </t>
  </si>
  <si>
    <t>ROUNDUP 102+12=114 DITAMBAH PIUTANG LURAH TOPO TERBAYAR</t>
  </si>
  <si>
    <t>13 BTL,15 PAK</t>
  </si>
  <si>
    <t>2. PAKAN AYAM</t>
  </si>
  <si>
    <t>18 SAK</t>
  </si>
  <si>
    <t>NILAI KORTING BULAN MEI 2020</t>
  </si>
  <si>
    <t>11  SAK</t>
  </si>
  <si>
    <t>THR KARYAWAN</t>
  </si>
  <si>
    <t>TGL : 28/5/20.ROUNDUP 12 BTL, NPK MUTIARA 24, TOMAT SERVO 20 BNGKS.TUJUAN SOFIFI</t>
  </si>
  <si>
    <t>LAPORAN LABA RUGI PERIODE MEI 2020</t>
  </si>
  <si>
    <t>LAPORAN LABA RUGI PERIODE APRIL 2020</t>
  </si>
  <si>
    <t>PERIODE MEI 2020 KIOS TIDORE</t>
  </si>
  <si>
    <t>PERIODE JUNI 2020 KIOS TIDORE</t>
  </si>
  <si>
    <t>LAPORAN LABA RUGI PERIODE JUNI 2020</t>
  </si>
  <si>
    <t>SAWI LEONY</t>
  </si>
  <si>
    <t>NILAI KORTING BULAN JUNI 2020</t>
  </si>
  <si>
    <t>PERIODE JULI 2020 KIOS TIDORE</t>
  </si>
  <si>
    <t>TOMAT SERVO 1750 BTR</t>
  </si>
  <si>
    <t>TERONG MUSTANG</t>
  </si>
  <si>
    <t>KACANG PANJANG</t>
  </si>
  <si>
    <t>BAYAM MIRA</t>
  </si>
  <si>
    <t>SAWI SHINTA</t>
  </si>
  <si>
    <t>PETELUR 324KJ SAK</t>
  </si>
  <si>
    <t>PETELUR CP 524</t>
  </si>
  <si>
    <t>OBAT AYAM</t>
  </si>
  <si>
    <t>TRYMIZIN</t>
  </si>
  <si>
    <t>PAKAN PT CURAH 324 KJ</t>
  </si>
  <si>
    <t>PAKAN PT CURAH 524</t>
  </si>
  <si>
    <t>ROUNDUP 33-12=21 TUJUAN SOFIFI 28 MEI 20</t>
  </si>
  <si>
    <t>TOMAT servo150 butir</t>
  </si>
  <si>
    <t>LAPORAN LABA RUGI PERIODE JULI 2020</t>
  </si>
  <si>
    <t>NILAI KORTING BULAN JULI 2020</t>
  </si>
  <si>
    <t xml:space="preserve"> PETELUR324 KJ</t>
  </si>
  <si>
    <t xml:space="preserve"> PETELUR524</t>
  </si>
  <si>
    <t>BONCIS 500 GRM</t>
  </si>
  <si>
    <t>4,5</t>
  </si>
  <si>
    <t>13</t>
  </si>
  <si>
    <t>PAKAN AYAM</t>
  </si>
  <si>
    <t>LABA PENJUALAN SUPERMI</t>
  </si>
  <si>
    <t xml:space="preserve">PENGIRIMAN BARANG,BURUH </t>
  </si>
  <si>
    <t>DAN LAIN-LAIN.</t>
  </si>
  <si>
    <t>LABA PENJUALAN T.TANI</t>
  </si>
  <si>
    <t>TOTAL LABA PENJUALAN</t>
  </si>
  <si>
    <t>NOXON 53-20=33 TUJUAN SOFIFI</t>
  </si>
  <si>
    <t>PERIODE AGUSTUS 2020 KIOS TIDORE</t>
  </si>
  <si>
    <t>LAPORAN LABA RUGI PERIODE AGUSTUS 2020</t>
  </si>
  <si>
    <t>11</t>
  </si>
  <si>
    <t>12,5</t>
  </si>
  <si>
    <t>pengiriman sofifi 37 sak pakan cp 11,12</t>
  </si>
  <si>
    <t>ket : total cp 11,12. = 95 sak</t>
  </si>
  <si>
    <t>tersisa 17 sak.</t>
  </si>
  <si>
    <t>sisa 57 sak, dan laku terjual per sak dan enceran total = 41 sak</t>
  </si>
  <si>
    <t>PERIODE SEPTEMBER 2020 KIOS TIDORE</t>
  </si>
  <si>
    <t>KONSETRAT PEDAGING</t>
  </si>
  <si>
    <t>112 PEDAGING KONSTRT</t>
  </si>
  <si>
    <t>ATONIK 250 ML</t>
  </si>
  <si>
    <t>REGENT 250 ML</t>
  </si>
  <si>
    <t>MIPCINTA 100 GRM</t>
  </si>
  <si>
    <t>DECIS 50 ML</t>
  </si>
  <si>
    <t>EXPAYER</t>
  </si>
  <si>
    <t>BIBIT SERVO 150 BTR</t>
  </si>
  <si>
    <t>SELEDRI AMIGO 20 GRM</t>
  </si>
  <si>
    <t>PARE BINTANG ASIA  10 GRM</t>
  </si>
  <si>
    <t>SAWI SINTA</t>
  </si>
  <si>
    <t>CABE DEWATA 240 BTR</t>
  </si>
  <si>
    <t>S.S. CORN JAGUNG MANIS 250</t>
  </si>
  <si>
    <t>BAYAM MAESTRO 500 GRM</t>
  </si>
  <si>
    <t>BUNCIS LEBAT 500 GRM</t>
  </si>
  <si>
    <t>CP, SB 11 DAN 12</t>
  </si>
  <si>
    <t>KONSETRAT 112 PD</t>
  </si>
  <si>
    <t xml:space="preserve">PETELUR 524 </t>
  </si>
  <si>
    <t>PAKAN591 K BANGKOK</t>
  </si>
  <si>
    <t>PAKAN PT</t>
  </si>
  <si>
    <t>PAKAN BANGKOK</t>
  </si>
  <si>
    <t>POLIBEK KILO. 40/20* 50</t>
  </si>
  <si>
    <t>POLIBEK KILO30/15*40</t>
  </si>
  <si>
    <t>PAKAN  PETELUR 324 KJ 3 SAK</t>
  </si>
  <si>
    <t>TOTAL 212 SAK</t>
  </si>
  <si>
    <t>CATAAN : PENGIRIMAN BARANG SOFIFI DAPAT MEMPENGARUHI</t>
  </si>
  <si>
    <t xml:space="preserve">JUMLAH STOK BARANG DIATAS JIKALAU ADA YG TIDAK SESUAI BERARTI </t>
  </si>
  <si>
    <t>ADA PERUBAHAN DATA.</t>
  </si>
  <si>
    <t>RUSAK 3</t>
  </si>
  <si>
    <t>RUSAK 14</t>
  </si>
  <si>
    <t xml:space="preserve">PENGIRIMAN BARANG,&amp; BURUH </t>
  </si>
  <si>
    <t>DOC AYAM POTONG</t>
  </si>
  <si>
    <t>AYAM POTONG</t>
  </si>
  <si>
    <t xml:space="preserve">TEMPAT MINUM </t>
  </si>
  <si>
    <t>TEMPAT MINUM AYAM 1 GAL</t>
  </si>
  <si>
    <t>TEMPAT MINUM AYAM 2 GAL</t>
  </si>
  <si>
    <t xml:space="preserve">TEMPAT MAKAN </t>
  </si>
  <si>
    <t>TEMPAT MAKAN 4 KG</t>
  </si>
  <si>
    <t>TEMPAT MAKAN 5 KG</t>
  </si>
  <si>
    <t>WARING/KOFO</t>
  </si>
  <si>
    <t>WARING PAGAR/KOFO</t>
  </si>
  <si>
    <t xml:space="preserve">PAKAN 594 K BANGKOK </t>
  </si>
  <si>
    <t>HENDSPRAYER</t>
  </si>
  <si>
    <t>69</t>
  </si>
  <si>
    <t>KET: PAKAN CP 11,12 TOTAL 197 SAK DIKURANGI 31 SAK PENGIRIMAN SOFIFI SISA 166</t>
  </si>
  <si>
    <t>CONSENTRAT 112 PEDAGING 10 SAK</t>
  </si>
  <si>
    <t>NILAI KORTING BULAN SEPTEMBER 2020</t>
  </si>
  <si>
    <t xml:space="preserve">PENARIKAN TABANAS </t>
  </si>
  <si>
    <t>BELANJA BARANG</t>
  </si>
  <si>
    <t>BOKING KONTAINER</t>
  </si>
  <si>
    <t>EXPEDISI TIDORE</t>
  </si>
  <si>
    <t>TRUK ANGKUTAN</t>
  </si>
  <si>
    <t>PAKAN PETELUR 524 2 SAK</t>
  </si>
  <si>
    <t>LAPORAN LABA RUGI PERIODE SEPTEMBER 2020</t>
  </si>
  <si>
    <t>STOK PERIODE KE 5 SEP 2020</t>
  </si>
  <si>
    <t xml:space="preserve"> PLASTIK KEMASAN DLL</t>
  </si>
  <si>
    <t>PERIODE OKTOBER 2020 KIOS TIDORE</t>
  </si>
  <si>
    <t>LAPORAN LABA RUGI PERIODE OKTOBER 2020</t>
  </si>
  <si>
    <t>57</t>
  </si>
  <si>
    <t>CONSENTRAT 112 PEDAGING 5 SAK PENGIRIMAN SOFIFI</t>
  </si>
  <si>
    <t>KET: PAKAN CP 11,12 TOTAL 166 SAK DIKURANGI 55 SAK PENGIRIMAN SOFIFI SISA 111 SAK</t>
  </si>
  <si>
    <t>PEMBUATAN CAP DAN LAIN-LAIN.</t>
  </si>
  <si>
    <t xml:space="preserve">PENGIRIMAN SOFIFI &amp;,BURUH </t>
  </si>
  <si>
    <t>PERIODE NOVEMBER 2020 KIOS TIDORE</t>
  </si>
  <si>
    <t>LAPORAN LABA RUGI NOVEMBER OKTOBER 2020</t>
  </si>
  <si>
    <t>EX&amp;RUSAK</t>
  </si>
  <si>
    <t>KET: PAKAN MASUK CP, SB : 300 SAK</t>
  </si>
  <si>
    <t>PAKAN SISA : 6 SAK</t>
  </si>
  <si>
    <t>JUMLAH STOK JUAL DIATAS TIDAK TERMASUK PIUTANG</t>
  </si>
  <si>
    <t>1 RUSAK</t>
  </si>
  <si>
    <t>53</t>
  </si>
  <si>
    <t xml:space="preserve"> DAN LAIN-LAIN.</t>
  </si>
  <si>
    <t>BOKING KONTEINER</t>
  </si>
  <si>
    <t>BAYAR EXPEDISI</t>
  </si>
  <si>
    <t>TRUK ANGKUT</t>
  </si>
  <si>
    <t xml:space="preserve">NAMA </t>
  </si>
  <si>
    <t xml:space="preserve"> RETRIBUSI KIOS 2021</t>
  </si>
  <si>
    <t>PERIODE DESEMBER 2020 KIOS TIDORE</t>
  </si>
  <si>
    <t>TOTAL : 306 SAK</t>
  </si>
  <si>
    <t>5</t>
  </si>
  <si>
    <t>PLASTIK,PRINT, DAN LAIN-LAIN.</t>
  </si>
  <si>
    <t>PAKAN LAKU NOVEMBER</t>
  </si>
  <si>
    <t>PAKAN LAKU DESEMBER</t>
  </si>
  <si>
    <t>28 SAK TERMASUK ENCER</t>
  </si>
  <si>
    <t>98 SAK TERMSK ENCERAN</t>
  </si>
  <si>
    <t xml:space="preserve">PENGIRIMAN SOFIFI </t>
  </si>
  <si>
    <t>PERIODE JANUARI 2021 KIOS TIDORE</t>
  </si>
  <si>
    <t xml:space="preserve">KANGKUNG </t>
  </si>
  <si>
    <t>TIMUN BINTANG ASIA sukoi</t>
  </si>
  <si>
    <t>LAPORAN LABA RUGI DESEMBER 2020</t>
  </si>
  <si>
    <t>PAKAN LAKU JANUARI</t>
  </si>
  <si>
    <t>33 SAK TERMASUK ENCER</t>
  </si>
  <si>
    <t>LAPORAN LABA RUGI JANUARI 2021</t>
  </si>
  <si>
    <t xml:space="preserve">BURUH </t>
  </si>
  <si>
    <t>PLASTIK,PRINT, TERPAL DLL</t>
  </si>
  <si>
    <t>PERIODE FEBRUARI 2021 KIOS TIDORE</t>
  </si>
  <si>
    <t>KONSETRAT PETELUR 124P</t>
  </si>
  <si>
    <t>LAPORAN LABA RUGI FEBRUARI 2021</t>
  </si>
  <si>
    <t>BURUH ANGKAT PAKAN</t>
  </si>
  <si>
    <t>BIAYA PERBAIKAN ATAP KIOS</t>
  </si>
  <si>
    <t>SEWA TRUK ANGKUT</t>
  </si>
  <si>
    <t>TOTAL : 357-75 = 282 SAK PENGIRIMAN SOFIFI 75 SAK</t>
  </si>
  <si>
    <t>PAKAN CP 11,12 LAKU FEBRUARI</t>
  </si>
  <si>
    <t>BELI SAK</t>
  </si>
  <si>
    <t>BELI ECERAN</t>
  </si>
  <si>
    <t>30 SAK</t>
  </si>
  <si>
    <t>27 SAK</t>
  </si>
  <si>
    <t>BELI SENG</t>
  </si>
  <si>
    <t>PERIODE MARET 2021 KIOS TIDORE</t>
  </si>
  <si>
    <t>BONCIS LEBAT</t>
  </si>
  <si>
    <t>BAYAM IJO</t>
  </si>
  <si>
    <t>SINDEREI</t>
  </si>
  <si>
    <t>NILAI KORTING BULAN MARET 2021</t>
  </si>
  <si>
    <t>LAPORAN LABA RUGI MARET 2021</t>
  </si>
  <si>
    <t>BIAYA OPNAME</t>
  </si>
  <si>
    <t>PLASTIK,PRINT, DLL</t>
  </si>
  <si>
    <t>BALON LAMPU</t>
  </si>
  <si>
    <t>PAKAN AYAM PD SAK</t>
  </si>
  <si>
    <t>PERIODE APRIL 2021 KIOS TIDORE</t>
  </si>
  <si>
    <t xml:space="preserve">RUSAK 1 </t>
  </si>
  <si>
    <t>METAZEB 80 WP</t>
  </si>
  <si>
    <t>GRENTONIK 1 L</t>
  </si>
  <si>
    <t>ZAKAT MA'AL</t>
  </si>
  <si>
    <t>PENGIRIMAN B. SOFIFI</t>
  </si>
  <si>
    <t>BELI PASIR &amp; KERIKIL</t>
  </si>
  <si>
    <t>ONGKOS PERBAIKAN &amp; KONSM</t>
  </si>
  <si>
    <t xml:space="preserve">KONSMI TURUN MUATAN </t>
  </si>
  <si>
    <t>BELI FRIZER PENDINGIN</t>
  </si>
  <si>
    <t>NILAI KORTING BULAN APRIL2021</t>
  </si>
  <si>
    <t>PENGIRIMAN PAKAN DI SOFIFI TOTAL = 40 SAK, DLL</t>
  </si>
  <si>
    <t>PERIODE MEI 2021 KIOS TIDORE</t>
  </si>
  <si>
    <t>NILAI KORTING BULAN MEI2021</t>
  </si>
  <si>
    <t>PENGIRIMAN PAKAN DI SOFIFI MEI TOTAL = 12 SAK</t>
  </si>
  <si>
    <t>LAPORAN LABA RUGI MEI 2021</t>
  </si>
  <si>
    <t>KANGKUNG CABUT</t>
  </si>
  <si>
    <t>AYAM</t>
  </si>
  <si>
    <t>BAYAM RED</t>
  </si>
  <si>
    <t>HENSPRAYER</t>
  </si>
  <si>
    <t>PERIODE FEBRUARI  2020 KIOS TIDORE</t>
  </si>
  <si>
    <t>BEBAN PRINT ,PLASTIK LAIN2</t>
  </si>
  <si>
    <t>PERIODE JANUARI  2020 KIOS TIDORE</t>
  </si>
  <si>
    <t>DETHINE</t>
  </si>
  <si>
    <t>MKP PAK TANI</t>
  </si>
  <si>
    <t>PERIODE JUNI 2021 KIOS TIDORE</t>
  </si>
  <si>
    <t>PENGIRIMAN PAKAN DI SOFIFI JUNI TOTAL = 30  SAK</t>
  </si>
  <si>
    <t>SAWI TOSAKAN</t>
  </si>
  <si>
    <t>KANGKUNG BANGKOK P1</t>
  </si>
  <si>
    <t>PARE RADEN F1</t>
  </si>
  <si>
    <t>PAKAN PT CURAH 124P</t>
  </si>
  <si>
    <t>TERONG BUNGO F1</t>
  </si>
  <si>
    <t>50</t>
  </si>
  <si>
    <t>TERONG REZA F1</t>
  </si>
  <si>
    <t>INSTAL LEPTOP</t>
  </si>
  <si>
    <t>PENARIKAN TABANAS</t>
  </si>
  <si>
    <t>SALDO JUNI TERAKHIR</t>
  </si>
  <si>
    <t>BELANJA BARANG KNTER</t>
  </si>
  <si>
    <t>SISA SALDO MEI 28/5/21</t>
  </si>
  <si>
    <t>PERIODE JULI 2021 KIOS TIDORE</t>
  </si>
  <si>
    <t>PAKAN DEDAK</t>
  </si>
  <si>
    <t>DEDAK</t>
  </si>
  <si>
    <t>PERIODE AGUSTUS 2021 KIOS TIDORE</t>
  </si>
  <si>
    <t>NILAI KORTING BULAN JULI 2021</t>
  </si>
  <si>
    <t>PENGIRIMAN PAKAN DI SOFIFI JUNI TOTAL = 27  SAK</t>
  </si>
  <si>
    <t>PAKAN SB, CP 11,12 LAKU JULI</t>
  </si>
  <si>
    <t>BIAYA ONGKIR DEDAK</t>
  </si>
  <si>
    <t>YURAN SAMPAH</t>
  </si>
  <si>
    <t>PENGIRIMAN PAKAN SOFIFI</t>
  </si>
  <si>
    <t>TRANSPORTASI B,KONTEINER</t>
  </si>
  <si>
    <t>SISA SALDO JULI TERKHR</t>
  </si>
  <si>
    <t>SALDO AGUSTUS TERAKHIR</t>
  </si>
  <si>
    <t>PARE AWAN F1</t>
  </si>
  <si>
    <t>LAPORAN LABA RUGI AGUSTUS 2021</t>
  </si>
  <si>
    <t>PENGIRIMAN B. SOFIFI 2X</t>
  </si>
  <si>
    <t>T.SETORAN KIOS SEMBAKO</t>
  </si>
  <si>
    <t>PERIODE SEPTEMBER 2021 KIOS TIDORE</t>
  </si>
  <si>
    <t>PENGIRIMAN PAKAN DI SOFIFI AGUSTUS TOTAL = 80  SAK</t>
  </si>
  <si>
    <t>EEG STIMULAN</t>
  </si>
  <si>
    <t>PENGIRIMAN PAKAN DI SOFIFI SEPTEMBER TOTAL = 40</t>
  </si>
  <si>
    <t>LAPORAN LABA RUGI SEPTEMBER 2021</t>
  </si>
  <si>
    <t>DESPENSER</t>
  </si>
  <si>
    <t xml:space="preserve">SEDEKAH </t>
  </si>
  <si>
    <t>PENARIKAN TABANAS KIOS TIDORE</t>
  </si>
  <si>
    <t>SALDO BANK SEPTEMBER TERAKHIR</t>
  </si>
  <si>
    <t>KETERANGAN INFORMASI</t>
  </si>
  <si>
    <t>PERIODE OKTOBER 2021 KIOS TIDORE</t>
  </si>
  <si>
    <t>TEMPAT MINUM 1 GALON</t>
  </si>
  <si>
    <t>KACANG PANJANG KATRINA</t>
  </si>
  <si>
    <t>NILAI KORTING BULAN OKTOBER 2021</t>
  </si>
  <si>
    <t>12</t>
  </si>
  <si>
    <t>43</t>
  </si>
  <si>
    <t xml:space="preserve">PENGIRIMAN PAKAN DI SOFIFI OKTOBER TOTAL = </t>
  </si>
  <si>
    <t>PENGIRIMAN B. SOFIFI 3X</t>
  </si>
  <si>
    <t>1. PENGEMBALIAN PINJAMAN SEMENTARA TOTAL :  RP 20.000.000</t>
  </si>
  <si>
    <t>a. PEMBAYARAN PERTAMA SEPTEMBER RP 10.000.000</t>
  </si>
  <si>
    <t>b.  PEMBAYARAN KEDUA OKTOBER RP 10.000.000</t>
  </si>
  <si>
    <t>2. SALDO BANK OKTOBER 2021 RP 105.339.237</t>
  </si>
  <si>
    <t>48</t>
  </si>
  <si>
    <t>NILAI KORTING BULAN NOVEMBER 2021</t>
  </si>
  <si>
    <t>NILAI PAKAN ECER TGL 25-30</t>
  </si>
  <si>
    <t>YURAN SAMPAH 3 BULAN</t>
  </si>
  <si>
    <t>BIAYA AMBIL PAKAN DI TERNATE</t>
  </si>
  <si>
    <t>PENAMBAHAN STOK PAKAN DARI TERNATE 25 SAK TOTAL RP 12.790.000</t>
  </si>
  <si>
    <t>SALDO TERAKHIR NOVEMBER 2021 RP 144.432.104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</si>
</sst>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-&quot;Rp&quot;* #,##0_-;\-&quot;Rp&quot;* #,##0_-;_-&quot;Rp&quot;* &quot;-&quot;_-;_-@_-"/>
    <numFmt numFmtId="165" formatCode="_([$Rp-421]* #,##0.00_);_([$Rp-421]* \(#,##0.00\);_([$Rp-421]* &quot;-&quot;??_);_(@_)"/>
    <numFmt numFmtId="166" formatCode="_-&quot;Rp&quot;* #,##0.00_-;\-&quot;Rp&quot;* #,##0.00_-;_-&quot;Rp&quot;* &quot;-&quot;_-;_-@_-"/>
    <numFmt numFmtId="167" formatCode="_-[$Rp-3809]* #,##0.00_-;\-[$Rp-3809]* #,##0.00_-;_-[$Rp-3809]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165" fontId="0" fillId="0" borderId="0" xfId="0" applyNumberFormat="1" applyAlignment="1" applyProtection="1"/>
    <xf numFmtId="165" fontId="0" fillId="0" borderId="0" xfId="0" applyNumberFormat="1" applyAlignment="1" applyProtection="1">
      <alignment horizontal="right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165" fontId="0" fillId="0" borderId="0" xfId="0" applyNumberFormat="1" applyBorder="1" applyAlignment="1" applyProtection="1">
      <alignment horizontal="right"/>
    </xf>
    <xf numFmtId="165" fontId="0" fillId="0" borderId="0" xfId="0" applyNumberFormat="1" applyAlignment="1">
      <alignment horizontal="center"/>
    </xf>
    <xf numFmtId="165" fontId="5" fillId="4" borderId="1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6" borderId="0" xfId="0" applyFill="1" applyBorder="1" applyAlignment="1" applyProtection="1">
      <alignment horizontal="center"/>
    </xf>
    <xf numFmtId="0" fontId="0" fillId="6" borderId="0" xfId="0" applyFill="1" applyBorder="1" applyAlignment="1" applyProtection="1">
      <alignment horizontal="left"/>
    </xf>
    <xf numFmtId="165" fontId="0" fillId="6" borderId="0" xfId="0" applyNumberFormat="1" applyFill="1" applyBorder="1" applyAlignment="1" applyProtection="1">
      <alignment horizontal="right"/>
    </xf>
    <xf numFmtId="0" fontId="0" fillId="6" borderId="0" xfId="0" applyFill="1" applyBorder="1" applyAlignment="1" applyProtection="1">
      <alignment horizontal="center"/>
      <protection locked="0"/>
    </xf>
    <xf numFmtId="1" fontId="0" fillId="6" borderId="0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0" xfId="0" applyNumberFormat="1" applyFill="1" applyAlignment="1">
      <alignment horizontal="center"/>
    </xf>
    <xf numFmtId="0" fontId="0" fillId="6" borderId="0" xfId="0" applyFill="1" applyAlignment="1" applyProtection="1">
      <alignment horizontal="center"/>
    </xf>
    <xf numFmtId="165" fontId="0" fillId="6" borderId="0" xfId="0" applyNumberFormat="1" applyFill="1" applyBorder="1" applyAlignment="1" applyProtection="1">
      <alignment horizontal="left"/>
    </xf>
    <xf numFmtId="0" fontId="0" fillId="5" borderId="1" xfId="0" applyFont="1" applyFill="1" applyBorder="1" applyAlignment="1" applyProtection="1">
      <alignment horizontal="center"/>
      <protection locked="0"/>
    </xf>
    <xf numFmtId="2" fontId="0" fillId="5" borderId="1" xfId="0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right" vertical="center"/>
    </xf>
    <xf numFmtId="0" fontId="1" fillId="5" borderId="0" xfId="0" applyFont="1" applyFill="1" applyBorder="1"/>
    <xf numFmtId="165" fontId="2" fillId="0" borderId="1" xfId="0" applyNumberFormat="1" applyFont="1" applyBorder="1"/>
    <xf numFmtId="165" fontId="5" fillId="3" borderId="1" xfId="0" applyNumberFormat="1" applyFont="1" applyFill="1" applyBorder="1"/>
    <xf numFmtId="0" fontId="2" fillId="5" borderId="1" xfId="0" applyFont="1" applyFill="1" applyBorder="1"/>
    <xf numFmtId="165" fontId="2" fillId="5" borderId="1" xfId="0" applyNumberFormat="1" applyFont="1" applyFill="1" applyBorder="1"/>
    <xf numFmtId="165" fontId="5" fillId="2" borderId="1" xfId="0" applyNumberFormat="1" applyFont="1" applyFill="1" applyBorder="1"/>
    <xf numFmtId="0" fontId="2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5" fillId="5" borderId="1" xfId="0" applyNumberFormat="1" applyFont="1" applyFill="1" applyBorder="1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Protection="1"/>
    <xf numFmtId="2" fontId="0" fillId="0" borderId="0" xfId="0" applyNumberFormat="1" applyAlignment="1" applyProtection="1">
      <alignment horizontal="center"/>
    </xf>
    <xf numFmtId="165" fontId="0" fillId="0" borderId="0" xfId="0" applyNumberFormat="1" applyProtection="1"/>
    <xf numFmtId="2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6" borderId="0" xfId="0" applyNumberFormat="1" applyFill="1" applyBorder="1" applyAlignment="1" applyProtection="1">
      <alignment horizontal="center"/>
    </xf>
    <xf numFmtId="165" fontId="0" fillId="6" borderId="0" xfId="0" applyNumberFormat="1" applyFill="1" applyAlignment="1" applyProtection="1">
      <alignment horizontal="right"/>
    </xf>
    <xf numFmtId="165" fontId="0" fillId="6" borderId="0" xfId="0" applyNumberFormat="1" applyFill="1" applyAlignment="1" applyProtection="1">
      <alignment horizontal="center"/>
    </xf>
    <xf numFmtId="0" fontId="0" fillId="5" borderId="1" xfId="0" applyFont="1" applyFill="1" applyBorder="1" applyAlignment="1" applyProtection="1">
      <alignment horizontal="center"/>
    </xf>
    <xf numFmtId="2" fontId="0" fillId="5" borderId="1" xfId="0" applyNumberFormat="1" applyFont="1" applyFill="1" applyBorder="1" applyAlignment="1" applyProtection="1">
      <alignment horizontal="center"/>
    </xf>
    <xf numFmtId="165" fontId="5" fillId="5" borderId="1" xfId="0" applyNumberFormat="1" applyFont="1" applyFill="1" applyBorder="1" applyAlignment="1" applyProtection="1">
      <alignment vertical="center"/>
    </xf>
    <xf numFmtId="165" fontId="5" fillId="4" borderId="1" xfId="0" applyNumberFormat="1" applyFont="1" applyFill="1" applyBorder="1" applyAlignment="1" applyProtection="1">
      <alignment vertical="center"/>
    </xf>
    <xf numFmtId="165" fontId="5" fillId="5" borderId="1" xfId="0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1" fillId="0" borderId="0" xfId="0" applyFont="1" applyBorder="1" applyAlignment="1" applyProtection="1">
      <alignment horizontal="center" wrapText="1"/>
    </xf>
    <xf numFmtId="0" fontId="0" fillId="0" borderId="0" xfId="0" applyAlignment="1" applyProtection="1">
      <alignment horizontal="left" wrapText="1"/>
    </xf>
    <xf numFmtId="0" fontId="0" fillId="0" borderId="0" xfId="0" applyBorder="1" applyAlignment="1" applyProtection="1"/>
    <xf numFmtId="0" fontId="0" fillId="0" borderId="0" xfId="0" applyBorder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0" fillId="5" borderId="0" xfId="0" applyFill="1" applyBorder="1" applyProtection="1"/>
    <xf numFmtId="0" fontId="0" fillId="5" borderId="0" xfId="0" applyFill="1" applyBorder="1" applyAlignment="1" applyProtection="1">
      <alignment horizontal="right" vertical="center"/>
    </xf>
    <xf numFmtId="0" fontId="1" fillId="5" borderId="0" xfId="0" applyFont="1" applyFill="1" applyBorder="1" applyProtection="1"/>
    <xf numFmtId="0" fontId="0" fillId="0" borderId="0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 applyAlignment="1" applyProtection="1">
      <alignment horizontal="left"/>
    </xf>
    <xf numFmtId="0" fontId="0" fillId="5" borderId="0" xfId="0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1" fontId="0" fillId="6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Border="1" applyAlignment="1"/>
    <xf numFmtId="0" fontId="0" fillId="0" borderId="0" xfId="0" applyBorder="1" applyAlignment="1" applyProtection="1">
      <alignment horizontal="left"/>
    </xf>
    <xf numFmtId="0" fontId="1" fillId="0" borderId="0" xfId="0" applyFont="1" applyAlignment="1">
      <alignment horizontal="center"/>
    </xf>
    <xf numFmtId="49" fontId="0" fillId="6" borderId="0" xfId="0" applyNumberFormat="1" applyFill="1" applyBorder="1" applyAlignment="1" applyProtection="1">
      <alignment horizontal="center"/>
      <protection locked="0"/>
    </xf>
    <xf numFmtId="165" fontId="5" fillId="0" borderId="1" xfId="0" applyNumberFormat="1" applyFont="1" applyBorder="1"/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wrapText="1"/>
    </xf>
    <xf numFmtId="1" fontId="0" fillId="6" borderId="0" xfId="0" applyNumberFormat="1" applyFill="1" applyAlignment="1">
      <alignment horizont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Border="1" applyAlignment="1"/>
    <xf numFmtId="0" fontId="2" fillId="0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/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0" fillId="7" borderId="0" xfId="0" applyFill="1" applyBorder="1" applyAlignment="1" applyProtection="1">
      <alignment horizontal="center"/>
    </xf>
    <xf numFmtId="0" fontId="0" fillId="7" borderId="0" xfId="0" applyFill="1" applyBorder="1" applyAlignment="1" applyProtection="1">
      <alignment horizontal="left"/>
    </xf>
    <xf numFmtId="165" fontId="0" fillId="7" borderId="0" xfId="0" applyNumberFormat="1" applyFill="1" applyBorder="1" applyAlignment="1" applyProtection="1">
      <alignment horizontal="right"/>
    </xf>
    <xf numFmtId="1" fontId="0" fillId="7" borderId="0" xfId="0" applyNumberFormat="1" applyFill="1" applyBorder="1" applyAlignment="1">
      <alignment horizontal="center"/>
    </xf>
    <xf numFmtId="1" fontId="0" fillId="7" borderId="0" xfId="0" applyNumberFormat="1" applyFill="1" applyBorder="1" applyAlignment="1" applyProtection="1">
      <alignment horizontal="center"/>
      <protection locked="0"/>
    </xf>
    <xf numFmtId="1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right"/>
    </xf>
    <xf numFmtId="165" fontId="0" fillId="7" borderId="0" xfId="0" applyNumberFormat="1" applyFill="1" applyBorder="1" applyAlignment="1">
      <alignment horizontal="right"/>
    </xf>
    <xf numFmtId="165" fontId="0" fillId="7" borderId="0" xfId="0" applyNumberFormat="1" applyFill="1" applyAlignment="1">
      <alignment horizontal="center"/>
    </xf>
    <xf numFmtId="0" fontId="0" fillId="7" borderId="0" xfId="0" applyFill="1"/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7" fillId="0" borderId="1" xfId="0" applyFont="1" applyBorder="1" applyProtection="1"/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left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165" fontId="0" fillId="0" borderId="1" xfId="0" applyNumberFormat="1" applyBorder="1" applyAlignment="1" applyProtection="1"/>
    <xf numFmtId="165" fontId="0" fillId="0" borderId="1" xfId="0" applyNumberFormat="1" applyBorder="1" applyAlignment="1" applyProtection="1">
      <alignment horizontal="right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 applyProtection="1">
      <alignment horizontal="left"/>
    </xf>
    <xf numFmtId="165" fontId="0" fillId="7" borderId="1" xfId="0" applyNumberFormat="1" applyFill="1" applyBorder="1" applyAlignment="1" applyProtection="1">
      <alignment horizontal="right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 applyProtection="1">
      <alignment horizontal="center"/>
      <protection locked="0"/>
    </xf>
    <xf numFmtId="165" fontId="0" fillId="7" borderId="1" xfId="0" applyNumberFormat="1" applyFill="1" applyBorder="1" applyAlignment="1">
      <alignment horizontal="right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 applyAlignment="1" applyProtection="1">
      <alignment horizontal="left"/>
    </xf>
    <xf numFmtId="165" fontId="0" fillId="6" borderId="1" xfId="0" applyNumberFormat="1" applyFill="1" applyBorder="1" applyAlignment="1" applyProtection="1">
      <alignment horizontal="right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165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 applyProtection="1">
      <alignment horizontal="left"/>
    </xf>
    <xf numFmtId="49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0" fillId="0" borderId="0" xfId="0" applyFont="1" applyBorder="1" applyAlignment="1">
      <alignment vertical="center"/>
    </xf>
    <xf numFmtId="0" fontId="0" fillId="0" borderId="0" xfId="0" applyFont="1"/>
    <xf numFmtId="0" fontId="1" fillId="0" borderId="0" xfId="0" applyFont="1" applyFill="1" applyBorder="1" applyAlignment="1"/>
    <xf numFmtId="0" fontId="0" fillId="0" borderId="0" xfId="0" applyFont="1" applyBorder="1" applyAlignment="1"/>
    <xf numFmtId="0" fontId="0" fillId="6" borderId="9" xfId="0" applyFill="1" applyBorder="1" applyAlignment="1" applyProtection="1">
      <alignment horizontal="left"/>
    </xf>
    <xf numFmtId="165" fontId="0" fillId="6" borderId="9" xfId="0" applyNumberFormat="1" applyFill="1" applyBorder="1" applyAlignment="1" applyProtection="1">
      <alignment horizontal="left"/>
    </xf>
    <xf numFmtId="165" fontId="0" fillId="6" borderId="9" xfId="0" applyNumberFormat="1" applyFill="1" applyBorder="1" applyAlignment="1" applyProtection="1">
      <alignment horizontal="right"/>
    </xf>
    <xf numFmtId="1" fontId="0" fillId="6" borderId="9" xfId="0" applyNumberFormat="1" applyFill="1" applyBorder="1" applyAlignment="1" applyProtection="1">
      <alignment horizontal="center"/>
      <protection locked="0"/>
    </xf>
    <xf numFmtId="0" fontId="0" fillId="6" borderId="9" xfId="0" applyNumberFormat="1" applyFill="1" applyBorder="1" applyAlignment="1" applyProtection="1">
      <alignment horizontal="center"/>
      <protection locked="0"/>
    </xf>
    <xf numFmtId="1" fontId="0" fillId="6" borderId="9" xfId="0" applyNumberFormat="1" applyFill="1" applyBorder="1" applyAlignment="1">
      <alignment horizontal="center"/>
    </xf>
    <xf numFmtId="165" fontId="0" fillId="6" borderId="9" xfId="0" applyNumberFormat="1" applyFill="1" applyBorder="1" applyAlignment="1">
      <alignment horizontal="right"/>
    </xf>
    <xf numFmtId="165" fontId="0" fillId="6" borderId="9" xfId="0" applyNumberFormat="1" applyFill="1" applyBorder="1" applyAlignment="1">
      <alignment horizontal="center"/>
    </xf>
    <xf numFmtId="165" fontId="0" fillId="5" borderId="1" xfId="0" applyNumberFormat="1" applyFont="1" applyFill="1" applyBorder="1" applyAlignment="1">
      <alignment vertical="center"/>
    </xf>
    <xf numFmtId="165" fontId="0" fillId="4" borderId="1" xfId="0" applyNumberFormat="1" applyFont="1" applyFill="1" applyBorder="1" applyAlignment="1">
      <alignment vertical="center"/>
    </xf>
    <xf numFmtId="165" fontId="0" fillId="5" borderId="1" xfId="0" applyNumberFormat="1" applyFont="1" applyFill="1" applyBorder="1" applyAlignment="1">
      <alignment horizontal="center" vertical="center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/>
    <xf numFmtId="0" fontId="0" fillId="6" borderId="0" xfId="0" applyFill="1"/>
    <xf numFmtId="0" fontId="0" fillId="6" borderId="12" xfId="0" applyFill="1" applyBorder="1"/>
    <xf numFmtId="164" fontId="2" fillId="5" borderId="1" xfId="0" applyNumberFormat="1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Fill="1" applyBorder="1"/>
    <xf numFmtId="164" fontId="0" fillId="8" borderId="0" xfId="0" applyNumberFormat="1" applyFill="1"/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Border="1"/>
    <xf numFmtId="0" fontId="0" fillId="9" borderId="1" xfId="0" applyFill="1" applyBorder="1" applyAlignment="1" applyProtection="1">
      <alignment horizontal="center"/>
    </xf>
    <xf numFmtId="0" fontId="0" fillId="9" borderId="1" xfId="0" applyFill="1" applyBorder="1" applyAlignment="1" applyProtection="1">
      <alignment horizontal="left"/>
    </xf>
    <xf numFmtId="165" fontId="0" fillId="9" borderId="1" xfId="0" applyNumberFormat="1" applyFill="1" applyBorder="1" applyAlignment="1" applyProtection="1">
      <alignment horizontal="right"/>
    </xf>
    <xf numFmtId="1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 applyProtection="1">
      <alignment horizontal="center"/>
      <protection locked="0"/>
    </xf>
    <xf numFmtId="165" fontId="0" fillId="9" borderId="1" xfId="0" applyNumberFormat="1" applyFill="1" applyBorder="1" applyAlignment="1">
      <alignment horizontal="right"/>
    </xf>
    <xf numFmtId="165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0" fillId="5" borderId="0" xfId="0" applyFill="1"/>
    <xf numFmtId="0" fontId="0" fillId="0" borderId="0" xfId="0" applyAlignment="1"/>
    <xf numFmtId="166" fontId="2" fillId="5" borderId="1" xfId="0" applyNumberFormat="1" applyFont="1" applyFill="1" applyBorder="1"/>
    <xf numFmtId="166" fontId="2" fillId="0" borderId="1" xfId="0" applyNumberFormat="1" applyFont="1" applyBorder="1"/>
    <xf numFmtId="166" fontId="5" fillId="2" borderId="1" xfId="0" applyNumberFormat="1" applyFont="1" applyFill="1" applyBorder="1"/>
    <xf numFmtId="166" fontId="0" fillId="5" borderId="1" xfId="0" applyNumberFormat="1" applyFont="1" applyFill="1" applyBorder="1" applyAlignment="1">
      <alignment vertical="center"/>
    </xf>
    <xf numFmtId="166" fontId="5" fillId="5" borderId="1" xfId="0" applyNumberFormat="1" applyFont="1" applyFill="1" applyBorder="1"/>
    <xf numFmtId="166" fontId="2" fillId="0" borderId="1" xfId="0" applyNumberFormat="1" applyFont="1" applyBorder="1" applyAlignment="1"/>
    <xf numFmtId="166" fontId="5" fillId="3" borderId="1" xfId="0" applyNumberFormat="1" applyFont="1" applyFill="1" applyBorder="1"/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1" fillId="0" borderId="0" xfId="0" applyFont="1" applyBorder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Border="1" applyAlignment="1"/>
    <xf numFmtId="0" fontId="2" fillId="0" borderId="2" xfId="0" applyFont="1" applyBorder="1" applyAlignment="1"/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8" fillId="5" borderId="1" xfId="0" applyFont="1" applyFill="1" applyBorder="1" applyProtection="1"/>
    <xf numFmtId="0" fontId="8" fillId="5" borderId="1" xfId="0" applyFont="1" applyFill="1" applyBorder="1" applyAlignment="1" applyProtection="1">
      <alignment horizontal="center"/>
    </xf>
    <xf numFmtId="0" fontId="8" fillId="5" borderId="1" xfId="0" applyFont="1" applyFill="1" applyBorder="1" applyAlignment="1" applyProtection="1">
      <alignment horizontal="left"/>
    </xf>
    <xf numFmtId="0" fontId="8" fillId="5" borderId="1" xfId="0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0" fontId="9" fillId="5" borderId="0" xfId="0" applyFont="1" applyFill="1"/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165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3" xfId="0" applyBorder="1" applyAlignment="1" applyProtection="1">
      <alignment horizontal="center"/>
    </xf>
    <xf numFmtId="0" fontId="0" fillId="5" borderId="1" xfId="0" applyFill="1" applyBorder="1" applyAlignment="1" applyProtection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/>
    </xf>
    <xf numFmtId="165" fontId="0" fillId="5" borderId="1" xfId="0" applyNumberFormat="1" applyFill="1" applyBorder="1" applyAlignment="1" applyProtection="1">
      <alignment horizontal="right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165" fontId="0" fillId="5" borderId="1" xfId="0" applyNumberFormat="1" applyFill="1" applyBorder="1" applyAlignment="1">
      <alignment horizontal="right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65" fontId="0" fillId="5" borderId="1" xfId="0" applyNumberFormat="1" applyFill="1" applyBorder="1" applyAlignment="1" applyProtection="1">
      <alignment horizontal="left"/>
    </xf>
    <xf numFmtId="1" fontId="0" fillId="5" borderId="1" xfId="0" applyNumberFormat="1" applyFill="1" applyBorder="1" applyAlignment="1" applyProtection="1">
      <alignment horizontal="center"/>
      <protection locked="0"/>
    </xf>
    <xf numFmtId="1" fontId="0" fillId="9" borderId="1" xfId="0" applyNumberFormat="1" applyFont="1" applyFill="1" applyBorder="1" applyAlignment="1">
      <alignment horizontal="center"/>
    </xf>
    <xf numFmtId="1" fontId="0" fillId="7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 applyProtection="1">
      <alignment horizontal="left"/>
    </xf>
    <xf numFmtId="0" fontId="0" fillId="5" borderId="0" xfId="0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0" fillId="10" borderId="1" xfId="0" applyFill="1" applyBorder="1" applyAlignment="1" applyProtection="1">
      <alignment horizontal="center"/>
    </xf>
    <xf numFmtId="0" fontId="0" fillId="10" borderId="1" xfId="0" applyFill="1" applyBorder="1" applyAlignment="1" applyProtection="1">
      <alignment horizontal="left"/>
    </xf>
    <xf numFmtId="165" fontId="0" fillId="10" borderId="1" xfId="0" applyNumberFormat="1" applyFill="1" applyBorder="1" applyAlignment="1" applyProtection="1">
      <alignment horizontal="right"/>
    </xf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165" fontId="0" fillId="10" borderId="1" xfId="0" applyNumberFormat="1" applyFill="1" applyBorder="1" applyAlignment="1">
      <alignment horizontal="right"/>
    </xf>
    <xf numFmtId="165" fontId="0" fillId="10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4" borderId="1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left"/>
    </xf>
    <xf numFmtId="165" fontId="0" fillId="4" borderId="1" xfId="0" applyNumberFormat="1" applyFill="1" applyBorder="1" applyAlignment="1" applyProtection="1">
      <alignment horizontal="right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>
      <alignment horizontal="right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" fillId="0" borderId="0" xfId="0" applyFont="1" applyFill="1" applyBorder="1"/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165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10" borderId="0" xfId="0" applyFill="1"/>
    <xf numFmtId="1" fontId="0" fillId="3" borderId="1" xfId="0" applyNumberForma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165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7" fontId="5" fillId="0" borderId="0" xfId="1" applyNumberFormat="1" applyFont="1" applyBorder="1"/>
    <xf numFmtId="167" fontId="5" fillId="0" borderId="0" xfId="1" applyNumberFormat="1" applyFont="1"/>
    <xf numFmtId="0" fontId="5" fillId="0" borderId="0" xfId="0" applyFont="1"/>
    <xf numFmtId="0" fontId="5" fillId="0" borderId="0" xfId="0" applyFont="1" applyBorder="1"/>
    <xf numFmtId="0" fontId="9" fillId="9" borderId="1" xfId="0" applyFont="1" applyFill="1" applyBorder="1" applyAlignment="1" applyProtection="1">
      <alignment horizontal="center"/>
    </xf>
    <xf numFmtId="0" fontId="9" fillId="9" borderId="1" xfId="0" applyFont="1" applyFill="1" applyBorder="1" applyAlignment="1" applyProtection="1">
      <alignment horizontal="left"/>
    </xf>
    <xf numFmtId="165" fontId="9" fillId="9" borderId="1" xfId="0" applyNumberFormat="1" applyFont="1" applyFill="1" applyBorder="1" applyAlignment="1" applyProtection="1">
      <alignment horizontal="right"/>
    </xf>
    <xf numFmtId="1" fontId="9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 applyProtection="1">
      <alignment horizontal="center"/>
      <protection locked="0"/>
    </xf>
    <xf numFmtId="165" fontId="9" fillId="9" borderId="1" xfId="0" applyNumberFormat="1" applyFont="1" applyFill="1" applyBorder="1" applyAlignment="1">
      <alignment horizontal="right"/>
    </xf>
    <xf numFmtId="165" fontId="9" fillId="9" borderId="1" xfId="0" applyNumberFormat="1" applyFont="1" applyFill="1" applyBorder="1" applyAlignment="1">
      <alignment horizontal="center"/>
    </xf>
    <xf numFmtId="0" fontId="9" fillId="9" borderId="1" xfId="0" applyFont="1" applyFill="1" applyBorder="1"/>
    <xf numFmtId="0" fontId="9" fillId="9" borderId="0" xfId="0" applyFont="1" applyFill="1"/>
    <xf numFmtId="44" fontId="5" fillId="0" borderId="0" xfId="1" applyNumberFormat="1" applyFont="1" applyBorder="1"/>
    <xf numFmtId="44" fontId="5" fillId="0" borderId="0" xfId="1" applyNumberFormat="1" applyFont="1"/>
    <xf numFmtId="44" fontId="5" fillId="0" borderId="0" xfId="0" applyNumberFormat="1" applyFont="1"/>
    <xf numFmtId="0" fontId="2" fillId="0" borderId="3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5" borderId="8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left"/>
    </xf>
    <xf numFmtId="0" fontId="1" fillId="5" borderId="0" xfId="0" applyFont="1" applyFill="1" applyBorder="1" applyAlignment="1" applyProtection="1">
      <alignment horizontal="center"/>
    </xf>
    <xf numFmtId="165" fontId="1" fillId="5" borderId="0" xfId="0" applyNumberFormat="1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165" fontId="0" fillId="3" borderId="0" xfId="0" applyNumberFormat="1" applyFill="1" applyBorder="1" applyAlignment="1" applyProtection="1">
      <alignment horizontal="center"/>
    </xf>
    <xf numFmtId="165" fontId="1" fillId="4" borderId="0" xfId="0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Border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left" vertical="center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/>
    </xf>
    <xf numFmtId="0" fontId="3" fillId="5" borderId="5" xfId="0" applyFont="1" applyFill="1" applyBorder="1" applyAlignment="1" applyProtection="1">
      <alignment horizontal="center" vertical="center"/>
    </xf>
    <xf numFmtId="0" fontId="3" fillId="5" borderId="6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/>
    </xf>
    <xf numFmtId="165" fontId="1" fillId="5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34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protection locked="1" hidden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" formatCode="0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relative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protection locked="1" hidden="0"/>
    </dxf>
    <dxf>
      <protection locked="1" hidden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" formatCode="0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relative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rgb="FFFFFF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rgb="FFFFFF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rgb="FFFFFF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rgb="FFFFFF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2"/>
        <color rgb="FFFFFF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2"/>
        <color rgb="FFFFFF00"/>
        <name val="Calibri"/>
        <scheme val="minor"/>
      </font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protection locked="0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protection locked="1" hidden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protection locked="1" hidden="0"/>
    </dxf>
    <dxf>
      <protection locked="1" hidden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center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relative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" formatCode="0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relative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right" vertical="bottom" textRotation="0" wrapText="0" indent="0" justifyLastLine="0" shrinkToFit="0" readingOrder="0"/>
      <protection locked="1" hidden="0"/>
    </dxf>
    <dxf>
      <numFmt numFmtId="165" formatCode="_([$Rp-421]* #,##0.00_);_([$Rp-421]* \(#,##0.00\);_([$Rp-421]* &quot;-&quot;??_);_(@_)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protection locked="1" hidden="0"/>
    </dxf>
  </dxfs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24" displayName="Table24" ref="A4:N57" totalsRowShown="0" headerRowDxfId="344" dataDxfId="343">
  <autoFilter ref="A4:N57"/>
  <tableColumns count="14">
    <tableColumn id="1" name="NO" dataDxfId="342"/>
    <tableColumn id="2" name="KODE BARANG" dataDxfId="341"/>
    <tableColumn id="3" name="NAMA BARANG" dataDxfId="340"/>
    <tableColumn id="4" name="HARGA POKOK" dataDxfId="339"/>
    <tableColumn id="5" name="HRGA JUAL" dataDxfId="338"/>
    <tableColumn id="6" name="STOK" dataDxfId="337"/>
    <tableColumn id="7" name="TERJUAL" dataDxfId="336"/>
    <tableColumn id="8" name="SISA" dataDxfId="335">
      <calculatedColumnFormula>Table24[STOK]-Table24[TERJUAL]</calculatedColumnFormula>
    </tableColumn>
    <tableColumn id="9" name="KEUNTUNGAN" dataDxfId="334">
      <calculatedColumnFormula>(Table24[HRGA JUAL]*Table24[TERJUAL])-(Table24[HARGA POKOK]*Table24[TERJUAL])</calculatedColumnFormula>
    </tableColumn>
    <tableColumn id="10" name="NILAI LAKU TERJUAL" dataDxfId="333">
      <calculatedColumnFormula>(Table24[HRGA JUAL]*Table24[TERJUAL])</calculatedColumnFormula>
    </tableColumn>
    <tableColumn id="14" name="NILAI BLM TERJUAL" dataDxfId="332">
      <calculatedColumnFormula>Table24[HRGA JUAL]*Table24[SISA]</calculatedColumnFormula>
    </tableColumn>
    <tableColumn id="11" name="TOTAL HRG POKOK" dataDxfId="331">
      <calculatedColumnFormula>Table24[HARGA POKOK]*Table24[STOK]</calculatedColumnFormula>
    </tableColumn>
    <tableColumn id="12" name="TOTAL HRG JUAL" dataDxfId="330">
      <calculatedColumnFormula>Table24[HRGA JUAL]*Table24[STOK]</calculatedColumnFormula>
    </tableColumn>
    <tableColumn id="13" name="KET" dataDxfId="32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24232567891011" displayName="Table24232567891011" ref="A4:N84" totalsRowShown="0" headerRowDxfId="211">
  <autoFilter ref="A4:N84"/>
  <tableColumns count="14">
    <tableColumn id="1" name="NO" dataDxfId="210"/>
    <tableColumn id="2" name="KODE BARANG" dataDxfId="209"/>
    <tableColumn id="3" name="NAMA BARANG" dataDxfId="208"/>
    <tableColumn id="4" name="HARGA POKOK" dataDxfId="207"/>
    <tableColumn id="5" name="HARGA JUAL" dataDxfId="206"/>
    <tableColumn id="6" name="STOK" dataDxfId="205">
      <calculatedColumnFormula>Table242325[STOK]-Table242325[TERJUAL]</calculatedColumnFormula>
    </tableColumn>
    <tableColumn id="7" name="TERJUAL" dataDxfId="204"/>
    <tableColumn id="8" name="SISA" dataDxfId="203">
      <calculatedColumnFormula>(Table24232567891011[STOK])-(Table24232567891011[TERJUAL])</calculatedColumnFormula>
    </tableColumn>
    <tableColumn id="9" name="KEUNTUNGAN" dataDxfId="202">
      <calculatedColumnFormula>(Table24232567891011[HARGA JUAL]*Table24232567891011[TERJUAL])-(Table24232567891011[HARGA POKOK]*Table24232567891011[TERJUAL])</calculatedColumnFormula>
    </tableColumn>
    <tableColumn id="10" name="TOTAL H. B. LAKU TERJUAL" dataDxfId="201">
      <calculatedColumnFormula>(Table24232567891011[HARGA JUAL]*Table24232567891011[TERJUAL])</calculatedColumnFormula>
    </tableColumn>
    <tableColumn id="14" name="TOTAL HARGA SISA BARANG" dataDxfId="200">
      <calculatedColumnFormula>Table24232567891011[HARGA JUAL]*Table24232567891011[SISA]</calculatedColumnFormula>
    </tableColumn>
    <tableColumn id="11" name="TOTAL HARGA POKOK" dataDxfId="199">
      <calculatedColumnFormula>Table24232567891011[HARGA POKOK]*Table24232567891011[STOK]</calculatedColumnFormula>
    </tableColumn>
    <tableColumn id="12" name="TOTAL HARGA JUAL" dataDxfId="198">
      <calculatedColumnFormula>Table24232567891011[HARGA JUAL]*Table24232567891011[STOK]</calculatedColumnFormula>
    </tableColumn>
    <tableColumn id="13" name="KET" dataDxfId="19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2423256789101112" displayName="Table2423256789101112" ref="A4:N85" totalsRowShown="0" headerRowDxfId="196">
  <autoFilter ref="A4:N85"/>
  <tableColumns count="14">
    <tableColumn id="1" name="NO" dataDxfId="195"/>
    <tableColumn id="2" name="KODE BARANG" dataDxfId="194"/>
    <tableColumn id="3" name="NAMA BARANG" dataDxfId="193"/>
    <tableColumn id="4" name="HARGA POKOK" dataDxfId="192"/>
    <tableColumn id="5" name="HARGA JUAL" dataDxfId="191"/>
    <tableColumn id="6" name="STOK" dataDxfId="190">
      <calculatedColumnFormula>Table242325[STOK]-Table242325[TERJUAL]</calculatedColumnFormula>
    </tableColumn>
    <tableColumn id="7" name="TERJUAL" dataDxfId="189"/>
    <tableColumn id="8" name="SISA" dataDxfId="188">
      <calculatedColumnFormula>(Table2423256789101112[STOK])-(Table2423256789101112[TERJUAL])</calculatedColumnFormula>
    </tableColumn>
    <tableColumn id="9" name="KEUNTUNGAN" dataDxfId="187">
      <calculatedColumnFormula>(Table2423256789101112[HARGA JUAL]*Table2423256789101112[TERJUAL])-(Table2423256789101112[HARGA POKOK]*Table2423256789101112[TERJUAL])</calculatedColumnFormula>
    </tableColumn>
    <tableColumn id="10" name="TOTAL H. B. LAKU TERJUAL" dataDxfId="186">
      <calculatedColumnFormula>(Table2423256789101112[HARGA JUAL]*Table2423256789101112[TERJUAL])</calculatedColumnFormula>
    </tableColumn>
    <tableColumn id="14" name="TOTAL HARGA SISA BARANG" dataDxfId="185">
      <calculatedColumnFormula>Table2423256789101112[HARGA JUAL]*Table2423256789101112[SISA]</calculatedColumnFormula>
    </tableColumn>
    <tableColumn id="11" name="TOTAL HARGA POKOK" dataDxfId="184">
      <calculatedColumnFormula>Table2423256789101112[HARGA POKOK]*Table2423256789101112[STOK]</calculatedColumnFormula>
    </tableColumn>
    <tableColumn id="12" name="TOTAL HARGA JUAL" dataDxfId="183">
      <calculatedColumnFormula>Table2423256789101112[HARGA JUAL]*Table2423256789101112[STOK]</calculatedColumnFormula>
    </tableColumn>
    <tableColumn id="13" name="KET" dataDxfId="18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242325678910111213" displayName="Table242325678910111213" ref="A4:N85" totalsRowShown="0" headerRowDxfId="181">
  <autoFilter ref="A4:N85"/>
  <tableColumns count="14">
    <tableColumn id="1" name="NO" dataDxfId="180"/>
    <tableColumn id="2" name="KODE BARANG" dataDxfId="179"/>
    <tableColumn id="3" name="NAMA BARANG" dataDxfId="178"/>
    <tableColumn id="4" name="HARGA POKOK" dataDxfId="177"/>
    <tableColumn id="5" name="HARGA JUAL" dataDxfId="176"/>
    <tableColumn id="6" name="STOK" dataDxfId="175">
      <calculatedColumnFormula>Table242325[STOK]-Table242325[TERJUAL]</calculatedColumnFormula>
    </tableColumn>
    <tableColumn id="7" name="TERJUAL" dataDxfId="174"/>
    <tableColumn id="8" name="SISA" dataDxfId="173">
      <calculatedColumnFormula>(Table242325678910111213[STOK])-(Table242325678910111213[TERJUAL])</calculatedColumnFormula>
    </tableColumn>
    <tableColumn id="9" name="KEUNTUNGAN" dataDxfId="172">
      <calculatedColumnFormula>(Table242325678910111213[HARGA JUAL]*Table242325678910111213[TERJUAL])-(Table242325678910111213[HARGA POKOK]*Table242325678910111213[TERJUAL])</calculatedColumnFormula>
    </tableColumn>
    <tableColumn id="10" name="TOTAL H. B. LAKU TERJUAL" dataDxfId="171">
      <calculatedColumnFormula>(Table242325678910111213[HARGA JUAL]*Table242325678910111213[TERJUAL])</calculatedColumnFormula>
    </tableColumn>
    <tableColumn id="14" name="TOTAL HARGA SISA BARANG" dataDxfId="170">
      <calculatedColumnFormula>Table242325678910111213[HARGA JUAL]*Table242325678910111213[SISA]</calculatedColumnFormula>
    </tableColumn>
    <tableColumn id="11" name="TOTAL HARGA POKOK" dataDxfId="169">
      <calculatedColumnFormula>Table242325678910111213[HARGA POKOK]*Table242325678910111213[STOK]</calculatedColumnFormula>
    </tableColumn>
    <tableColumn id="12" name="TOTAL HARGA JUAL" dataDxfId="168">
      <calculatedColumnFormula>Table242325678910111213[HARGA JUAL]*Table242325678910111213[STOK]</calculatedColumnFormula>
    </tableColumn>
    <tableColumn id="13" name="KET" dataDxfId="167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24232567891011121314" displayName="Table24232567891011121314" ref="A4:N87" totalsRowShown="0" headerRowDxfId="166">
  <autoFilter ref="A4:N87"/>
  <tableColumns count="14">
    <tableColumn id="1" name="NO" dataDxfId="165"/>
    <tableColumn id="2" name="KODE BARANG" dataDxfId="164"/>
    <tableColumn id="3" name="NAMA BARANG" dataDxfId="163"/>
    <tableColumn id="4" name="HARGA POKOK" dataDxfId="162"/>
    <tableColumn id="5" name="HARGA JUAL" dataDxfId="161"/>
    <tableColumn id="6" name="STOK" dataDxfId="160">
      <calculatedColumnFormula>Table242325[STOK]-Table242325[TERJUAL]</calculatedColumnFormula>
    </tableColumn>
    <tableColumn id="7" name="TERJUAL" dataDxfId="159"/>
    <tableColumn id="8" name="SISA" dataDxfId="158">
      <calculatedColumnFormula>(Table24232567891011121314[STOK])-(Table24232567891011121314[TERJUAL])</calculatedColumnFormula>
    </tableColumn>
    <tableColumn id="9" name="KEUNTUNGAN" dataDxfId="157">
      <calculatedColumnFormula>(Table24232567891011121314[HARGA JUAL]*Table24232567891011121314[TERJUAL])-(Table24232567891011121314[HARGA POKOK]*Table24232567891011121314[TERJUAL])</calculatedColumnFormula>
    </tableColumn>
    <tableColumn id="10" name="TOTAL H. B. LAKU TERJUAL" dataDxfId="156">
      <calculatedColumnFormula>(Table24232567891011121314[HARGA JUAL]*Table24232567891011121314[TERJUAL])</calculatedColumnFormula>
    </tableColumn>
    <tableColumn id="14" name="TOTAL HARGA SISA BARANG" dataDxfId="155">
      <calculatedColumnFormula>Table24232567891011121314[HARGA JUAL]*Table24232567891011121314[SISA]</calculatedColumnFormula>
    </tableColumn>
    <tableColumn id="11" name="TOTAL HARGA POKOK" dataDxfId="154">
      <calculatedColumnFormula>Table24232567891011121314[HARGA POKOK]*Table24232567891011121314[STOK]</calculatedColumnFormula>
    </tableColumn>
    <tableColumn id="12" name="TOTAL HARGA JUAL" dataDxfId="153">
      <calculatedColumnFormula>Table24232567891011121314[HARGA JUAL]*Table24232567891011121314[STOK]</calculatedColumnFormula>
    </tableColumn>
    <tableColumn id="13" name="KET" dataDxfId="15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2423256789101112131415" displayName="Table2423256789101112131415" ref="A4:N88" totalsRowShown="0" headerRowDxfId="151">
  <autoFilter ref="A4:N88"/>
  <tableColumns count="14">
    <tableColumn id="1" name="NO" dataDxfId="150"/>
    <tableColumn id="2" name="KODE BARANG" dataDxfId="149"/>
    <tableColumn id="3" name="NAMA BARANG" dataDxfId="148"/>
    <tableColumn id="4" name="HARGA POKOK" dataDxfId="147"/>
    <tableColumn id="5" name="HARGA JUAL" dataDxfId="146"/>
    <tableColumn id="6" name="STOK" dataDxfId="145">
      <calculatedColumnFormula>Table242325[STOK]-Table242325[TERJUAL]</calculatedColumnFormula>
    </tableColumn>
    <tableColumn id="7" name="TERJUAL" dataDxfId="144"/>
    <tableColumn id="8" name="SISA" dataDxfId="143">
      <calculatedColumnFormula>(Table2423256789101112131415[[#This Row],[STOK]]-Table2423256789101112131415[[#This Row],[TERJUAL]])</calculatedColumnFormula>
    </tableColumn>
    <tableColumn id="9" name="KEUNTUNGAN" dataDxfId="142">
      <calculatedColumnFormula>(Table2423256789101112131415[HARGA JUAL]*Table2423256789101112131415[TERJUAL])-(Table2423256789101112131415[HARGA POKOK]*Table2423256789101112131415[TERJUAL])</calculatedColumnFormula>
    </tableColumn>
    <tableColumn id="10" name="TOTAL H. B. LAKU TERJUAL" dataDxfId="141">
      <calculatedColumnFormula>(Table2423256789101112131415[HARGA JUAL]*Table2423256789101112131415[TERJUAL])</calculatedColumnFormula>
    </tableColumn>
    <tableColumn id="14" name="TOTAL HARGA SISA BARANG" dataDxfId="140">
      <calculatedColumnFormula>Table2423256789101112131415[HARGA JUAL]*Table2423256789101112131415[SISA]</calculatedColumnFormula>
    </tableColumn>
    <tableColumn id="11" name="TOTAL HARGA POKOK" dataDxfId="139">
      <calculatedColumnFormula>Table2423256789101112131415[HARGA POKOK]*Table2423256789101112131415[STOK]</calculatedColumnFormula>
    </tableColumn>
    <tableColumn id="12" name="TOTAL HARGA JUAL" dataDxfId="138">
      <calculatedColumnFormula>Table2423256789101112131415[HARGA JUAL]*Table2423256789101112131415[STOK]</calculatedColumnFormula>
    </tableColumn>
    <tableColumn id="13" name="KET" dataDxfId="137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242325678910111213141516" displayName="Table242325678910111213141516" ref="A4:N90" totalsRowShown="0" headerRowDxfId="136">
  <autoFilter ref="A4:N90"/>
  <tableColumns count="14">
    <tableColumn id="1" name="NO" dataDxfId="135"/>
    <tableColumn id="2" name="KODE BARANG" dataDxfId="134"/>
    <tableColumn id="3" name="NAMA BARANG" dataDxfId="133"/>
    <tableColumn id="4" name="HARGA POKOK" dataDxfId="132"/>
    <tableColumn id="5" name="HARGA JUAL" dataDxfId="131"/>
    <tableColumn id="6" name="STOK" dataDxfId="130">
      <calculatedColumnFormula>Table242325[STOK]-Table242325[TERJUAL]</calculatedColumnFormula>
    </tableColumn>
    <tableColumn id="7" name="TERJUAL" dataDxfId="129"/>
    <tableColumn id="8" name="SISA" dataDxfId="128">
      <calculatedColumnFormula>(Table242325678910111213141516[[#This Row],[STOK]]-Table242325678910111213141516[[#This Row],[TERJUAL]])</calculatedColumnFormula>
    </tableColumn>
    <tableColumn id="9" name="KEUNTUNGAN" dataDxfId="127">
      <calculatedColumnFormula>(Table242325678910111213141516[HARGA JUAL]*Table242325678910111213141516[TERJUAL])-(Table242325678910111213141516[HARGA POKOK]*Table242325678910111213141516[TERJUAL])</calculatedColumnFormula>
    </tableColumn>
    <tableColumn id="10" name="TOTAL H. B. LAKU TERJUAL" dataDxfId="126">
      <calculatedColumnFormula>(Table242325678910111213141516[HARGA JUAL]*Table242325678910111213141516[TERJUAL])</calculatedColumnFormula>
    </tableColumn>
    <tableColumn id="14" name="TOTAL HARGA SISA BARANG" dataDxfId="125">
      <calculatedColumnFormula>Table242325678910111213141516[HARGA JUAL]*Table242325678910111213141516[SISA]</calculatedColumnFormula>
    </tableColumn>
    <tableColumn id="11" name="TOTAL HARGA POKOK" dataDxfId="124">
      <calculatedColumnFormula>Table242325678910111213141516[HARGA POKOK]*Table242325678910111213141516[STOK]</calculatedColumnFormula>
    </tableColumn>
    <tableColumn id="12" name="TOTAL HARGA JUAL" dataDxfId="123">
      <calculatedColumnFormula>Table242325678910111213141516[HARGA JUAL]*Table242325678910111213141516[STOK]</calculatedColumnFormula>
    </tableColumn>
    <tableColumn id="13" name="KET" dataDxfId="122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2417" displayName="Table2417" ref="A4:N58" totalsRowShown="0" headerRowDxfId="121" dataDxfId="120">
  <autoFilter ref="A4:N58"/>
  <tableColumns count="14">
    <tableColumn id="1" name="NO" dataDxfId="119"/>
    <tableColumn id="2" name="KODE BARANG" dataDxfId="118"/>
    <tableColumn id="3" name="NAMA BARANG" dataDxfId="117"/>
    <tableColumn id="4" name="HARGA POKOK" dataDxfId="116"/>
    <tableColumn id="5" name="HRGA JUAL" dataDxfId="115"/>
    <tableColumn id="6" name="STOK" dataDxfId="114"/>
    <tableColumn id="7" name="TERJUAL" dataDxfId="113"/>
    <tableColumn id="8" name="SISA" dataDxfId="112">
      <calculatedColumnFormula>Table2417[STOK]-Table2417[TERJUAL]</calculatedColumnFormula>
    </tableColumn>
    <tableColumn id="9" name="KEUNTUNGAN" dataDxfId="111">
      <calculatedColumnFormula>(Table2417[HRGA JUAL]*Table2417[TERJUAL])-(Table2417[HARGA POKOK]*Table2417[TERJUAL])</calculatedColumnFormula>
    </tableColumn>
    <tableColumn id="10" name="NILAI LAKU TERJUAL" dataDxfId="110">
      <calculatedColumnFormula>(Table2417[HRGA JUAL]*Table2417[TERJUAL])</calculatedColumnFormula>
    </tableColumn>
    <tableColumn id="14" name="NILAI BLM TERJUAL" dataDxfId="109">
      <calculatedColumnFormula>Table2417[HRGA JUAL]*Table2417[SISA]</calculatedColumnFormula>
    </tableColumn>
    <tableColumn id="11" name="TOTAL HRG POKOK" dataDxfId="108">
      <calculatedColumnFormula>Table2417[HARGA POKOK]*Table2417[STOK]</calculatedColumnFormula>
    </tableColumn>
    <tableColumn id="12" name="TOTAL HRG JUAL" dataDxfId="107">
      <calculatedColumnFormula>Table2417[HRGA JUAL]*Table2417[STOK]</calculatedColumnFormula>
    </tableColumn>
    <tableColumn id="13" name="KET" dataDxfId="106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241718" displayName="Table241718" ref="A4:N59" totalsRowShown="0" headerRowDxfId="105" dataDxfId="104">
  <autoFilter ref="A4:N59"/>
  <tableColumns count="14">
    <tableColumn id="1" name="NO" dataDxfId="103"/>
    <tableColumn id="2" name="KODE BARANG" dataDxfId="102"/>
    <tableColumn id="3" name="NAMA BARANG" dataDxfId="101"/>
    <tableColumn id="4" name="HARGA POKOK" dataDxfId="100"/>
    <tableColumn id="5" name="HRGA JUAL" dataDxfId="99"/>
    <tableColumn id="6" name="STOK" dataDxfId="98"/>
    <tableColumn id="7" name="TERJUAL" dataDxfId="97"/>
    <tableColumn id="8" name="SISA" dataDxfId="96">
      <calculatedColumnFormula>Table241718[STOK]-Table241718[TERJUAL]</calculatedColumnFormula>
    </tableColumn>
    <tableColumn id="9" name="KEUNTUNGAN" dataDxfId="95">
      <calculatedColumnFormula>(Table241718[HRGA JUAL]*Table241718[TERJUAL])-(Table241718[HARGA POKOK]*Table241718[TERJUAL])</calculatedColumnFormula>
    </tableColumn>
    <tableColumn id="10" name="NILAI LAKU TERJUAL" dataDxfId="94">
      <calculatedColumnFormula>(Table241718[HRGA JUAL]*Table241718[TERJUAL])</calculatedColumnFormula>
    </tableColumn>
    <tableColumn id="14" name="NILAI BLM TERJUAL" dataDxfId="93">
      <calculatedColumnFormula>Table241718[HRGA JUAL]*Table241718[SISA]</calculatedColumnFormula>
    </tableColumn>
    <tableColumn id="11" name="TOTAL HRG POKOK" dataDxfId="92">
      <calculatedColumnFormula>Table241718[HARGA POKOK]*Table241718[STOK]</calculatedColumnFormula>
    </tableColumn>
    <tableColumn id="12" name="TOTAL HRG JUAL" dataDxfId="91">
      <calculatedColumnFormula>Table241718[HRGA JUAL]*Table241718[STOK]</calculatedColumnFormula>
    </tableColumn>
    <tableColumn id="13" name="KET" dataDxfId="9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9" name="Table24232567891011121314151620" displayName="Table24232567891011121314151620" ref="A4:N91" totalsRowShown="0" headerRowDxfId="89">
  <autoFilter ref="A4:N91"/>
  <tableColumns count="14">
    <tableColumn id="1" name="NO" dataDxfId="88"/>
    <tableColumn id="2" name="KODE BARANG" dataDxfId="87"/>
    <tableColumn id="3" name="NAMA BARANG" dataDxfId="86"/>
    <tableColumn id="4" name="HARGA POKOK" dataDxfId="85"/>
    <tableColumn id="5" name="HARGA JUAL" dataDxfId="84"/>
    <tableColumn id="6" name="STOK" dataDxfId="83">
      <calculatedColumnFormula>Table242325[STOK]-Table242325[TERJUAL]</calculatedColumnFormula>
    </tableColumn>
    <tableColumn id="7" name="TERJUAL" dataDxfId="82"/>
    <tableColumn id="8" name="SISA" dataDxfId="81">
      <calculatedColumnFormula>(Table24232567891011121314151620[[#This Row],[STOK]]-Table24232567891011121314151620[[#This Row],[TERJUAL]])</calculatedColumnFormula>
    </tableColumn>
    <tableColumn id="9" name="KEUNTUNGAN" dataDxfId="80">
      <calculatedColumnFormula>(Table24232567891011121314151620[HARGA JUAL]*Table24232567891011121314151620[TERJUAL])-(Table24232567891011121314151620[HARGA POKOK]*Table24232567891011121314151620[TERJUAL])</calculatedColumnFormula>
    </tableColumn>
    <tableColumn id="10" name="TOTAL H. B. LAKU TERJUAL" dataDxfId="79">
      <calculatedColumnFormula>(Table24232567891011121314151620[HARGA JUAL]*Table24232567891011121314151620[TERJUAL])</calculatedColumnFormula>
    </tableColumn>
    <tableColumn id="14" name="TOTAL HARGA SISA BARANG" dataDxfId="78">
      <calculatedColumnFormula>Table24232567891011121314151620[HARGA JUAL]*Table24232567891011121314151620[SISA]</calculatedColumnFormula>
    </tableColumn>
    <tableColumn id="11" name="TOTAL HARGA POKOK" dataDxfId="77">
      <calculatedColumnFormula>Table24232567891011121314151620[HARGA POKOK]*Table24232567891011121314151620[STOK]</calculatedColumnFormula>
    </tableColumn>
    <tableColumn id="12" name="TOTAL HARGA JUAL" dataDxfId="76">
      <calculatedColumnFormula>Table24232567891011121314151620[HARGA JUAL]*Table24232567891011121314151620[STOK]</calculatedColumnFormula>
    </tableColumn>
    <tableColumn id="13" name="KET" dataDxfId="7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8" name="Table2423256789101112131415162019" displayName="Table2423256789101112131415162019" ref="A4:N92" totalsRowShown="0" headerRowDxfId="74">
  <autoFilter ref="A4:N92"/>
  <tableColumns count="14">
    <tableColumn id="1" name="NO" dataDxfId="73"/>
    <tableColumn id="2" name="KODE BARANG" dataDxfId="72"/>
    <tableColumn id="3" name="NAMA BARANG" dataDxfId="71"/>
    <tableColumn id="4" name="HARGA POKOK" dataDxfId="70"/>
    <tableColumn id="5" name="HARGA JUAL" dataDxfId="69"/>
    <tableColumn id="6" name="STOK" dataDxfId="68">
      <calculatedColumnFormula>Table242325[STOK]-Table242325[TERJUAL]</calculatedColumnFormula>
    </tableColumn>
    <tableColumn id="7" name="TERJUAL" dataDxfId="67"/>
    <tableColumn id="8" name="SISA" dataDxfId="66">
      <calculatedColumnFormula>(Table2423256789101112131415162019[[#This Row],[STOK]]-Table2423256789101112131415162019[[#This Row],[TERJUAL]])</calculatedColumnFormula>
    </tableColumn>
    <tableColumn id="9" name="KEUNTUNGAN" dataDxfId="65">
      <calculatedColumnFormula>(Table2423256789101112131415162019[HARGA JUAL]*Table2423256789101112131415162019[TERJUAL])-(Table2423256789101112131415162019[HARGA POKOK]*Table2423256789101112131415162019[TERJUAL])</calculatedColumnFormula>
    </tableColumn>
    <tableColumn id="10" name="TOTAL H. B. LAKU TERJUAL" dataDxfId="64">
      <calculatedColumnFormula>(Table2423256789101112131415162019[HARGA JUAL]*Table2423256789101112131415162019[TERJUAL])</calculatedColumnFormula>
    </tableColumn>
    <tableColumn id="14" name="TOTAL HARGA SISA BARANG" dataDxfId="63">
      <calculatedColumnFormula>Table2423256789101112131415162019[HARGA JUAL]*Table2423256789101112131415162019[SISA]</calculatedColumnFormula>
    </tableColumn>
    <tableColumn id="11" name="TOTAL HARGA POKOK" dataDxfId="62">
      <calculatedColumnFormula>Table2423256789101112131415162019[HARGA POKOK]*Table2423256789101112131415162019[STOK]</calculatedColumnFormula>
    </tableColumn>
    <tableColumn id="12" name="TOTAL HARGA JUAL" dataDxfId="61">
      <calculatedColumnFormula>Table2423256789101112131415162019[HARGA JUAL]*Table2423256789101112131415162019[STOK]</calculatedColumnFormula>
    </tableColumn>
    <tableColumn id="13" name="KET" dataDxfId="6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423" displayName="Table2423" ref="A4:N57" totalsRowShown="0" headerRowDxfId="328" dataDxfId="327">
  <autoFilter ref="A4:N57"/>
  <tableColumns count="14">
    <tableColumn id="1" name="NO" dataDxfId="326"/>
    <tableColumn id="2" name="KODE BARANG" dataDxfId="325"/>
    <tableColumn id="3" name="NAMA BARANG" dataDxfId="324"/>
    <tableColumn id="4" name="HARGA POKOK" dataDxfId="323"/>
    <tableColumn id="5" name="HARGA JUAL" dataDxfId="322"/>
    <tableColumn id="6" name="STOK" dataDxfId="321">
      <calculatedColumnFormula>Table24[STOK]-Table24[TERJUAL]</calculatedColumnFormula>
    </tableColumn>
    <tableColumn id="7" name="TERJUAL" dataDxfId="320"/>
    <tableColumn id="8" name="SISA" dataDxfId="319">
      <calculatedColumnFormula>Table2423[STOK]-Table2423[TERJUAL]</calculatedColumnFormula>
    </tableColumn>
    <tableColumn id="9" name="KEUNTUNGAN" dataDxfId="318">
      <calculatedColumnFormula>(Table2423[HARGA JUAL]*Table2423[TERJUAL])-(Table2423[HARGA POKOK]*Table2423[TERJUAL])</calculatedColumnFormula>
    </tableColumn>
    <tableColumn id="10" name="TOTAL H. B. LAKU TERJUAL" dataDxfId="317">
      <calculatedColumnFormula>(Table2423[HARGA JUAL]*Table2423[TERJUAL])</calculatedColumnFormula>
    </tableColumn>
    <tableColumn id="14" name="TOTAL HARGA SISA BARANG" dataDxfId="316">
      <calculatedColumnFormula>Table2423[HARGA JUAL]*Table2423[SISA]</calculatedColumnFormula>
    </tableColumn>
    <tableColumn id="11" name="TOTAL HARGA POKOK" dataDxfId="315">
      <calculatedColumnFormula>Table2423[HARGA POKOK]*Table2423[STOK]</calculatedColumnFormula>
    </tableColumn>
    <tableColumn id="12" name="TOTAL HARGA JUAL" dataDxfId="314">
      <calculatedColumnFormula>Table2423[HARGA JUAL]*Table2423[STOK]</calculatedColumnFormula>
    </tableColumn>
    <tableColumn id="13" name="KET" dataDxfId="313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242325678910111213141516201921" displayName="Table242325678910111213141516201921" ref="A4:N92" totalsRowShown="0" headerRowDxfId="59">
  <autoFilter ref="A4:N92"/>
  <tableColumns count="14">
    <tableColumn id="1" name="NO" dataDxfId="58"/>
    <tableColumn id="2" name="KODE BARANG" dataDxfId="57"/>
    <tableColumn id="3" name="NAMA BARANG" dataDxfId="56"/>
    <tableColumn id="4" name="HARGA POKOK" dataDxfId="55"/>
    <tableColumn id="5" name="HARGA JUAL" dataDxfId="54"/>
    <tableColumn id="6" name="STOK" dataDxfId="53">
      <calculatedColumnFormula>Table242325[STOK]-Table242325[TERJUAL]</calculatedColumnFormula>
    </tableColumn>
    <tableColumn id="7" name="TERJUAL" dataDxfId="52"/>
    <tableColumn id="8" name="SISA" dataDxfId="51">
      <calculatedColumnFormula>(Table242325678910111213141516201921[[#This Row],[STOK]]-Table242325678910111213141516201921[[#This Row],[TERJUAL]])</calculatedColumnFormula>
    </tableColumn>
    <tableColumn id="9" name="KEUNTUNGAN" dataDxfId="50">
      <calculatedColumnFormula>(Table242325678910111213141516201921[HARGA JUAL]*Table242325678910111213141516201921[TERJUAL])-(Table242325678910111213141516201921[HARGA POKOK]*Table242325678910111213141516201921[TERJUAL])</calculatedColumnFormula>
    </tableColumn>
    <tableColumn id="10" name="TOTAL H. B. LAKU TERJUAL" dataDxfId="49">
      <calculatedColumnFormula>(Table242325678910111213141516201921[HARGA JUAL]*Table242325678910111213141516201921[TERJUAL])</calculatedColumnFormula>
    </tableColumn>
    <tableColumn id="14" name="TOTAL HARGA SISA BARANG" dataDxfId="48">
      <calculatedColumnFormula>Table242325678910111213141516201921[HARGA JUAL]*Table242325678910111213141516201921[SISA]</calculatedColumnFormula>
    </tableColumn>
    <tableColumn id="11" name="TOTAL HARGA POKOK" dataDxfId="47">
      <calculatedColumnFormula>Table242325678910111213141516201921[HARGA POKOK]*Table242325678910111213141516201921[STOK]</calculatedColumnFormula>
    </tableColumn>
    <tableColumn id="12" name="TOTAL HARGA JUAL" dataDxfId="46">
      <calculatedColumnFormula>Table242325678910111213141516201921[HARGA JUAL]*Table242325678910111213141516201921[STOK]</calculatedColumnFormula>
    </tableColumn>
    <tableColumn id="13" name="KET" dataDxfId="45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24232567891011121314151620192122" displayName="Table24232567891011121314151620192122" ref="A4:N93" totalsRowShown="0" headerRowDxfId="44">
  <autoFilter ref="A4:N93"/>
  <tableColumns count="14">
    <tableColumn id="1" name="NO" dataDxfId="43"/>
    <tableColumn id="2" name="KODE BARANG" dataDxfId="42"/>
    <tableColumn id="3" name="NAMA BARANG" dataDxfId="41"/>
    <tableColumn id="4" name="HARGA POKOK" dataDxfId="40"/>
    <tableColumn id="5" name="HARGA JUAL" dataDxfId="39"/>
    <tableColumn id="6" name="STOK" dataDxfId="38">
      <calculatedColumnFormula>Table242325[STOK]-Table242325[TERJUAL]</calculatedColumnFormula>
    </tableColumn>
    <tableColumn id="7" name="TERJUAL" dataDxfId="37"/>
    <tableColumn id="8" name="SISA" dataDxfId="36">
      <calculatedColumnFormula>(Table24232567891011121314151620192122[[#This Row],[STOK]]-Table24232567891011121314151620192122[[#This Row],[TERJUAL]])</calculatedColumnFormula>
    </tableColumn>
    <tableColumn id="9" name="KEUNTUNGAN" dataDxfId="35">
      <calculatedColumnFormula>(Table24232567891011121314151620192122[HARGA JUAL]*Table24232567891011121314151620192122[TERJUAL])-(Table24232567891011121314151620192122[HARGA POKOK]*Table24232567891011121314151620192122[TERJUAL])</calculatedColumnFormula>
    </tableColumn>
    <tableColumn id="10" name="TOTAL H. B. LAKU TERJUAL" dataDxfId="34">
      <calculatedColumnFormula>(Table24232567891011121314151620192122[HARGA JUAL]*Table24232567891011121314151620192122[TERJUAL])</calculatedColumnFormula>
    </tableColumn>
    <tableColumn id="14" name="TOTAL HARGA SISA BARANG" dataDxfId="33">
      <calculatedColumnFormula>Table24232567891011121314151620192122[HARGA JUAL]*Table24232567891011121314151620192122[SISA]</calculatedColumnFormula>
    </tableColumn>
    <tableColumn id="11" name="TOTAL HARGA POKOK" dataDxfId="32">
      <calculatedColumnFormula>Table24232567891011121314151620192122[HARGA POKOK]*Table24232567891011121314151620192122[STOK]</calculatedColumnFormula>
    </tableColumn>
    <tableColumn id="12" name="TOTAL HARGA JUAL" dataDxfId="31">
      <calculatedColumnFormula>Table24232567891011121314151620192122[HARGA JUAL]*Table24232567891011121314151620192122[STOK]</calculatedColumnFormula>
    </tableColumn>
    <tableColumn id="13" name="KET" dataDxfId="30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able2423256789101112131415162019212223" displayName="Table2423256789101112131415162019212223" ref="A4:N96" totalsRowShown="0" headerRowDxfId="29">
  <autoFilter ref="A4:N96"/>
  <tableColumns count="14">
    <tableColumn id="1" name="NO" dataDxfId="28"/>
    <tableColumn id="2" name="KODE BARANG" dataDxfId="27"/>
    <tableColumn id="3" name="NAMA BARANG" dataDxfId="26"/>
    <tableColumn id="4" name="HARGA POKOK" dataDxfId="25"/>
    <tableColumn id="5" name="HARGA JUAL" dataDxfId="24"/>
    <tableColumn id="6" name="STOK" dataDxfId="23">
      <calculatedColumnFormula>Table242325[STOK]-Table242325[TERJUAL]</calculatedColumnFormula>
    </tableColumn>
    <tableColumn id="7" name="TERJUAL" dataDxfId="22"/>
    <tableColumn id="8" name="SISA" dataDxfId="21">
      <calculatedColumnFormula>(Table2423256789101112131415162019212223[[#This Row],[STOK]]-Table2423256789101112131415162019212223[[#This Row],[TERJUAL]])</calculatedColumnFormula>
    </tableColumn>
    <tableColumn id="9" name="KEUNTUNGAN" dataDxfId="20">
      <calculatedColumnFormula>(Table2423256789101112131415162019212223[HARGA JUAL]*Table2423256789101112131415162019212223[TERJUAL])-(Table2423256789101112131415162019212223[HARGA POKOK]*Table2423256789101112131415162019212223[TERJUAL])</calculatedColumnFormula>
    </tableColumn>
    <tableColumn id="10" name="TOTAL H. B. LAKU TERJUAL" dataDxfId="19">
      <calculatedColumnFormula>(Table2423256789101112131415162019212223[HARGA JUAL]*Table2423256789101112131415162019212223[TERJUAL])</calculatedColumnFormula>
    </tableColumn>
    <tableColumn id="14" name="TOTAL HARGA SISA BARANG" dataDxfId="18">
      <calculatedColumnFormula>Table2423256789101112131415162019212223[HARGA JUAL]*Table2423256789101112131415162019212223[SISA]</calculatedColumnFormula>
    </tableColumn>
    <tableColumn id="11" name="TOTAL HARGA POKOK" dataDxfId="17">
      <calculatedColumnFormula>Table2423256789101112131415162019212223[HARGA POKOK]*Table2423256789101112131415162019212223[STOK]</calculatedColumnFormula>
    </tableColumn>
    <tableColumn id="12" name="TOTAL HARGA JUAL" dataDxfId="16">
      <calculatedColumnFormula>Table2423256789101112131415162019212223[HARGA JUAL]*Table2423256789101112131415162019212223[STOK]</calculatedColumnFormula>
    </tableColumn>
    <tableColumn id="13" name="KET" dataDxfId="15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4" name="Table242325678910111213141516201921222325" displayName="Table242325678910111213141516201921222325" ref="A4:N96" totalsRowShown="0" headerRowDxfId="14">
  <autoFilter ref="A4:N96"/>
  <tableColumns count="14">
    <tableColumn id="1" name="NO" dataDxfId="13"/>
    <tableColumn id="2" name="KODE BARANG" dataDxfId="12"/>
    <tableColumn id="3" name="NAMA BARANG" dataDxfId="11"/>
    <tableColumn id="4" name="HARGA POKOK" dataDxfId="10"/>
    <tableColumn id="5" name="HARGA JUAL" dataDxfId="9"/>
    <tableColumn id="6" name="STOK" dataDxfId="8">
      <calculatedColumnFormula>Table242325[STOK]-Table242325[TERJUAL]</calculatedColumnFormula>
    </tableColumn>
    <tableColumn id="7" name="TERJUAL" dataDxfId="7"/>
    <tableColumn id="8" name="SISA" dataDxfId="6">
      <calculatedColumnFormula>(Table242325678910111213141516201921222325[[#This Row],[STOK]]-Table242325678910111213141516201921222325[[#This Row],[TERJUAL]])</calculatedColumnFormula>
    </tableColumn>
    <tableColumn id="9" name="KEUNTUNGAN" dataDxfId="5">
      <calculatedColumnFormula>(Table242325678910111213141516201921222325[HARGA JUAL]*Table242325678910111213141516201921222325[TERJUAL])-(Table242325678910111213141516201921222325[HARGA POKOK]*Table242325678910111213141516201921222325[TERJUAL])</calculatedColumnFormula>
    </tableColumn>
    <tableColumn id="10" name="TOTAL H. B. LAKU TERJUAL" dataDxfId="4">
      <calculatedColumnFormula>(Table242325678910111213141516201921222325[HARGA JUAL]*Table242325678910111213141516201921222325[TERJUAL])</calculatedColumnFormula>
    </tableColumn>
    <tableColumn id="14" name="TOTAL HARGA SISA BARANG" dataDxfId="3">
      <calculatedColumnFormula>Table242325678910111213141516201921222325[HARGA JUAL]*Table242325678910111213141516201921222325[SISA]</calculatedColumnFormula>
    </tableColumn>
    <tableColumn id="11" name="TOTAL HARGA POKOK" dataDxfId="2">
      <calculatedColumnFormula>Table242325678910111213141516201921222325[HARGA POKOK]*Table242325678910111213141516201921222325[STOK]</calculatedColumnFormula>
    </tableColumn>
    <tableColumn id="12" name="TOTAL HARGA JUAL" dataDxfId="1">
      <calculatedColumnFormula>Table242325678910111213141516201921222325[HARGA JUAL]*Table242325678910111213141516201921222325[STOK]</calculatedColumnFormula>
    </tableColumn>
    <tableColumn id="13" name="KET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24232" displayName="Table24232" ref="A4:N57" totalsRowShown="0" headerRowDxfId="312">
  <autoFilter ref="A4:N57"/>
  <tableColumns count="14">
    <tableColumn id="1" name="NO" dataDxfId="311"/>
    <tableColumn id="2" name="KODE BARANG" dataDxfId="310"/>
    <tableColumn id="3" name="NAMA BARANG" dataDxfId="309"/>
    <tableColumn id="4" name="HARGA POKOK" dataDxfId="308"/>
    <tableColumn id="5" name="HARGA JUAL" dataDxfId="307"/>
    <tableColumn id="6" name="STOK" dataDxfId="306">
      <calculatedColumnFormula>Table2423[STOK]-Table2423[TERJUAL]</calculatedColumnFormula>
    </tableColumn>
    <tableColumn id="7" name="TERJUAL" dataDxfId="305"/>
    <tableColumn id="8" name="SISA" dataDxfId="304">
      <calculatedColumnFormula>Table24232[STOK]-Table24232[TERJUAL]</calculatedColumnFormula>
    </tableColumn>
    <tableColumn id="9" name="KEUNTUNGAN" dataDxfId="303">
      <calculatedColumnFormula>(Table24232[HARGA JUAL]*Table24232[TERJUAL])-(Table24232[HARGA POKOK]*Table24232[TERJUAL])</calculatedColumnFormula>
    </tableColumn>
    <tableColumn id="10" name="TOTAL H. B. LAKU TERJUAL" dataDxfId="302">
      <calculatedColumnFormula>(Table24232[HARGA JUAL]*Table24232[TERJUAL])</calculatedColumnFormula>
    </tableColumn>
    <tableColumn id="14" name="TOTAL HARGA SISA BARANG" dataDxfId="301">
      <calculatedColumnFormula>Table24232[HARGA JUAL]*Table24232[SISA]</calculatedColumnFormula>
    </tableColumn>
    <tableColumn id="11" name="TOTAL HARGA POKOK" dataDxfId="300">
      <calculatedColumnFormula>Table24232[HARGA POKOK]*Table24232[STOK]</calculatedColumnFormula>
    </tableColumn>
    <tableColumn id="12" name="TOTAL HARGA JUAL" dataDxfId="299">
      <calculatedColumnFormula>Table24232[HARGA JUAL]*Table24232[STOK]</calculatedColumnFormula>
    </tableColumn>
    <tableColumn id="13" name="KE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242325" displayName="Table242325" ref="A4:N58" totalsRowShown="0" headerRowDxfId="298">
  <autoFilter ref="A4:N58"/>
  <tableColumns count="14">
    <tableColumn id="1" name="NO" dataDxfId="297"/>
    <tableColumn id="2" name="KODE BARANG" dataDxfId="296"/>
    <tableColumn id="3" name="NAMA BARANG" dataDxfId="295"/>
    <tableColumn id="4" name="HARGA POKOK" dataDxfId="294"/>
    <tableColumn id="5" name="HARGA JUAL" dataDxfId="293"/>
    <tableColumn id="6" name="STOK" dataDxfId="292"/>
    <tableColumn id="7" name="TERJUAL" dataDxfId="291"/>
    <tableColumn id="8" name="SISA" dataDxfId="290">
      <calculatedColumnFormula>Table242325[STOK]-Table242325[TERJUAL]</calculatedColumnFormula>
    </tableColumn>
    <tableColumn id="9" name="KEUNTUNGAN" dataDxfId="289">
      <calculatedColumnFormula>(Table242325[HARGA JUAL]*Table242325[TERJUAL])-(Table242325[HARGA POKOK]*Table242325[TERJUAL])</calculatedColumnFormula>
    </tableColumn>
    <tableColumn id="10" name="TOTAL H. B. LAKU TERJUAL" dataDxfId="288">
      <calculatedColumnFormula>(Table242325[HARGA JUAL]*Table242325[TERJUAL])</calculatedColumnFormula>
    </tableColumn>
    <tableColumn id="14" name="TOTAL HARGA SISA BARANG" dataDxfId="287">
      <calculatedColumnFormula>Table242325[HARGA JUAL]*Table242325[SISA]</calculatedColumnFormula>
    </tableColumn>
    <tableColumn id="11" name="TOTAL HARGA POKOK" dataDxfId="286">
      <calculatedColumnFormula>Table242325[HARGA POKOK]*Table242325[STOK]</calculatedColumnFormula>
    </tableColumn>
    <tableColumn id="12" name="TOTAL HARGA JUAL" dataDxfId="285">
      <calculatedColumnFormula>Table242325[HARGA JUAL]*Table242325[STOK]</calculatedColumnFormula>
    </tableColumn>
    <tableColumn id="13" name="KE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2423256" displayName="Table2423256" ref="A4:N64" totalsRowShown="0" headerRowDxfId="284">
  <autoFilter ref="A4:N64"/>
  <tableColumns count="14">
    <tableColumn id="1" name="NO" dataDxfId="283"/>
    <tableColumn id="2" name="KODE BARANG" dataDxfId="282"/>
    <tableColumn id="3" name="NAMA BARANG" dataDxfId="281"/>
    <tableColumn id="4" name="HARGA POKOK" dataDxfId="280"/>
    <tableColumn id="5" name="HARGA JUAL" dataDxfId="279"/>
    <tableColumn id="6" name="STOK" dataDxfId="278">
      <calculatedColumnFormula>Table242325[STOK]-Table242325[TERJUAL]</calculatedColumnFormula>
    </tableColumn>
    <tableColumn id="7" name="TERJUAL" dataDxfId="277"/>
    <tableColumn id="8" name="SISA" dataDxfId="276">
      <calculatedColumnFormula>Table2423256[STOK]-Table2423256[TERJUAL]</calculatedColumnFormula>
    </tableColumn>
    <tableColumn id="9" name="KEUNTUNGAN" dataDxfId="275">
      <calculatedColumnFormula>(Table2423256[HARGA JUAL]*Table2423256[TERJUAL])-(Table2423256[HARGA POKOK]*Table2423256[TERJUAL])</calculatedColumnFormula>
    </tableColumn>
    <tableColumn id="10" name="TOTAL H. B. LAKU TERJUAL" dataDxfId="274">
      <calculatedColumnFormula>(Table2423256[HARGA JUAL]*Table2423256[TERJUAL])</calculatedColumnFormula>
    </tableColumn>
    <tableColumn id="14" name="TOTAL HARGA SISA BARANG" dataDxfId="273">
      <calculatedColumnFormula>Table2423256[HARGA JUAL]*Table2423256[SISA]</calculatedColumnFormula>
    </tableColumn>
    <tableColumn id="11" name="TOTAL HARGA POKOK" dataDxfId="272">
      <calculatedColumnFormula>Table2423256[HARGA POKOK]*Table2423256[STOK]</calculatedColumnFormula>
    </tableColumn>
    <tableColumn id="12" name="TOTAL HARGA JUAL" dataDxfId="271">
      <calculatedColumnFormula>Table2423256[HARGA JUAL]*Table2423256[STOK]</calculatedColumnFormula>
    </tableColumn>
    <tableColumn id="13" name="KE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24232567" displayName="Table24232567" ref="A4:N64" totalsRowShown="0" headerRowDxfId="270">
  <autoFilter ref="A4:N64"/>
  <tableColumns count="14">
    <tableColumn id="1" name="NO" dataDxfId="269"/>
    <tableColumn id="2" name="KODE BARANG" dataDxfId="268"/>
    <tableColumn id="3" name="NAMA BARANG" dataDxfId="267"/>
    <tableColumn id="4" name="HARGA POKOK" dataDxfId="266"/>
    <tableColumn id="5" name="HARGA JUAL" dataDxfId="265"/>
    <tableColumn id="6" name="STOK" dataDxfId="264">
      <calculatedColumnFormula>Table242325[STOK]-Table242325[TERJUAL]</calculatedColumnFormula>
    </tableColumn>
    <tableColumn id="7" name="TERJUAL" dataDxfId="263"/>
    <tableColumn id="8" name="SISA" dataDxfId="262">
      <calculatedColumnFormula>(Table24232567[STOK])-(Table24232567[TERJUAL])</calculatedColumnFormula>
    </tableColumn>
    <tableColumn id="9" name="KEUNTUNGAN" dataDxfId="261">
      <calculatedColumnFormula>(Table24232567[HARGA JUAL]*Table24232567[TERJUAL])-(Table24232567[HARGA POKOK]*Table24232567[TERJUAL])</calculatedColumnFormula>
    </tableColumn>
    <tableColumn id="10" name="TOTAL H. B. LAKU TERJUAL" dataDxfId="260">
      <calculatedColumnFormula>(Table24232567[HARGA JUAL]*Table24232567[TERJUAL])</calculatedColumnFormula>
    </tableColumn>
    <tableColumn id="14" name="TOTAL HARGA SISA BARANG" dataDxfId="259">
      <calculatedColumnFormula>Table24232567[HARGA JUAL]*Table24232567[SISA]</calculatedColumnFormula>
    </tableColumn>
    <tableColumn id="11" name="TOTAL HARGA POKOK" dataDxfId="258">
      <calculatedColumnFormula>Table24232567[HARGA POKOK]*Table24232567[STOK]</calculatedColumnFormula>
    </tableColumn>
    <tableColumn id="12" name="TOTAL HARGA JUAL" dataDxfId="257">
      <calculatedColumnFormula>Table24232567[HARGA JUAL]*Table24232567[STOK]</calculatedColumnFormula>
    </tableColumn>
    <tableColumn id="13" name="KE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242325678" displayName="Table242325678" ref="A4:N84" totalsRowShown="0" headerRowDxfId="256">
  <autoFilter ref="A4:N84"/>
  <tableColumns count="14">
    <tableColumn id="1" name="NO" dataDxfId="255"/>
    <tableColumn id="2" name="KODE BARANG" dataDxfId="254"/>
    <tableColumn id="3" name="NAMA BARANG" dataDxfId="253"/>
    <tableColumn id="4" name="HARGA POKOK" dataDxfId="252"/>
    <tableColumn id="5" name="HARGA JUAL" dataDxfId="251"/>
    <tableColumn id="6" name="STOK" dataDxfId="250">
      <calculatedColumnFormula>Table242325[STOK]-Table242325[TERJUAL]</calculatedColumnFormula>
    </tableColumn>
    <tableColumn id="7" name="TERJUAL" dataDxfId="249"/>
    <tableColumn id="8" name="SISA" dataDxfId="248">
      <calculatedColumnFormula>(Table242325678[STOK])-(Table242325678[TERJUAL])</calculatedColumnFormula>
    </tableColumn>
    <tableColumn id="9" name="KEUNTUNGAN" dataDxfId="247">
      <calculatedColumnFormula>(Table242325678[HARGA JUAL]*Table242325678[TERJUAL])-(Table242325678[HARGA POKOK]*Table242325678[TERJUAL])</calculatedColumnFormula>
    </tableColumn>
    <tableColumn id="10" name="TOTAL H. B. LAKU TERJUAL" dataDxfId="246">
      <calculatedColumnFormula>(Table242325678[HARGA JUAL]*Table242325678[TERJUAL])</calculatedColumnFormula>
    </tableColumn>
    <tableColumn id="14" name="TOTAL HARGA SISA BARANG" dataDxfId="245">
      <calculatedColumnFormula>Table242325678[HARGA JUAL]*Table242325678[SISA]</calculatedColumnFormula>
    </tableColumn>
    <tableColumn id="11" name="TOTAL HARGA POKOK" dataDxfId="244">
      <calculatedColumnFormula>Table242325678[HARGA POKOK]*Table242325678[STOK]</calculatedColumnFormula>
    </tableColumn>
    <tableColumn id="12" name="TOTAL HARGA JUAL" dataDxfId="243">
      <calculatedColumnFormula>Table242325678[HARGA JUAL]*Table242325678[STOK]</calculatedColumnFormula>
    </tableColumn>
    <tableColumn id="13" name="KET" dataDxfId="2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2423256789" displayName="Table2423256789" ref="A4:N84" totalsRowShown="0" headerRowDxfId="241">
  <autoFilter ref="A4:N84"/>
  <tableColumns count="14">
    <tableColumn id="1" name="NO" dataDxfId="240"/>
    <tableColumn id="2" name="KODE BARANG" dataDxfId="239"/>
    <tableColumn id="3" name="NAMA BARANG" dataDxfId="238"/>
    <tableColumn id="4" name="HARGA POKOK" dataDxfId="237"/>
    <tableColumn id="5" name="HARGA JUAL" dataDxfId="236"/>
    <tableColumn id="6" name="STOK" dataDxfId="235">
      <calculatedColumnFormula>Table242325[STOK]-Table242325[TERJUAL]</calculatedColumnFormula>
    </tableColumn>
    <tableColumn id="7" name="TERJUAL" dataDxfId="234"/>
    <tableColumn id="8" name="SISA" dataDxfId="233">
      <calculatedColumnFormula>(Table2423256789[STOK])-(Table2423256789[TERJUAL])</calculatedColumnFormula>
    </tableColumn>
    <tableColumn id="9" name="KEUNTUNGAN" dataDxfId="232">
      <calculatedColumnFormula>(Table2423256789[HARGA JUAL]*Table2423256789[TERJUAL])-(Table2423256789[HARGA POKOK]*Table2423256789[TERJUAL])</calculatedColumnFormula>
    </tableColumn>
    <tableColumn id="10" name="TOTAL H. B. LAKU TERJUAL" dataDxfId="231">
      <calculatedColumnFormula>(Table2423256789[HARGA JUAL]*Table2423256789[TERJUAL])</calculatedColumnFormula>
    </tableColumn>
    <tableColumn id="14" name="TOTAL HARGA SISA BARANG" dataDxfId="230">
      <calculatedColumnFormula>Table2423256789[HARGA JUAL]*Table2423256789[SISA]</calculatedColumnFormula>
    </tableColumn>
    <tableColumn id="11" name="TOTAL HARGA POKOK" dataDxfId="229">
      <calculatedColumnFormula>Table2423256789[HARGA POKOK]*Table2423256789[STOK]</calculatedColumnFormula>
    </tableColumn>
    <tableColumn id="12" name="TOTAL HARGA JUAL" dataDxfId="228">
      <calculatedColumnFormula>Table2423256789[HARGA JUAL]*Table2423256789[STOK]</calculatedColumnFormula>
    </tableColumn>
    <tableColumn id="13" name="KET" dataDxfId="22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242325678910" displayName="Table242325678910" ref="A4:N84" totalsRowShown="0" headerRowDxfId="226">
  <autoFilter ref="A4:N84"/>
  <tableColumns count="14">
    <tableColumn id="1" name="NO" dataDxfId="225"/>
    <tableColumn id="2" name="KODE BARANG" dataDxfId="224"/>
    <tableColumn id="3" name="NAMA BARANG" dataDxfId="223"/>
    <tableColumn id="4" name="HARGA POKOK" dataDxfId="222"/>
    <tableColumn id="5" name="HARGA JUAL" dataDxfId="221"/>
    <tableColumn id="6" name="STOK" dataDxfId="220">
      <calculatedColumnFormula>Table242325[STOK]-Table242325[TERJUAL]</calculatedColumnFormula>
    </tableColumn>
    <tableColumn id="7" name="TERJUAL" dataDxfId="219"/>
    <tableColumn id="8" name="SISA" dataDxfId="218">
      <calculatedColumnFormula>(Table242325678910[STOK])-(Table242325678910[TERJUAL])</calculatedColumnFormula>
    </tableColumn>
    <tableColumn id="9" name="KEUNTUNGAN" dataDxfId="217">
      <calculatedColumnFormula>(Table242325678910[HARGA JUAL]*Table242325678910[TERJUAL])-(Table242325678910[HARGA POKOK]*Table242325678910[TERJUAL])</calculatedColumnFormula>
    </tableColumn>
    <tableColumn id="10" name="TOTAL H. B. LAKU TERJUAL" dataDxfId="216">
      <calculatedColumnFormula>(Table242325678910[HARGA JUAL]*Table242325678910[TERJUAL])</calculatedColumnFormula>
    </tableColumn>
    <tableColumn id="14" name="TOTAL HARGA SISA BARANG" dataDxfId="215">
      <calculatedColumnFormula>Table242325678910[HARGA JUAL]*Table242325678910[SISA]</calculatedColumnFormula>
    </tableColumn>
    <tableColumn id="11" name="TOTAL HARGA POKOK" dataDxfId="214">
      <calculatedColumnFormula>Table242325678910[HARGA POKOK]*Table242325678910[STOK]</calculatedColumnFormula>
    </tableColumn>
    <tableColumn id="12" name="TOTAL HARGA JUAL" dataDxfId="213">
      <calculatedColumnFormula>Table242325678910[HARGA JUAL]*Table242325678910[STOK]</calculatedColumnFormula>
    </tableColumn>
    <tableColumn id="13" name="KET" dataDxfId="2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topLeftCell="A61" workbookViewId="0">
      <selection sqref="A1:XFD1048576"/>
    </sheetView>
  </sheetViews>
  <sheetFormatPr defaultRowHeight="15" x14ac:dyDescent="0.25"/>
  <cols>
    <col min="1" max="1" width="6.28515625" style="58" customWidth="1"/>
    <col min="2" max="2" width="17" style="18" customWidth="1"/>
    <col min="3" max="3" width="27.5703125" style="19" customWidth="1"/>
    <col min="4" max="4" width="18.7109375" style="58" customWidth="1"/>
    <col min="5" max="5" width="16.28515625" style="58" bestFit="1" customWidth="1"/>
    <col min="6" max="6" width="10.7109375" style="58" bestFit="1" customWidth="1"/>
    <col min="7" max="7" width="13.7109375" style="18" bestFit="1" customWidth="1"/>
    <col min="8" max="8" width="14.28515625" style="59" customWidth="1"/>
    <col min="9" max="9" width="19.5703125" style="60" customWidth="1"/>
    <col min="10" max="10" width="27.7109375" style="60" customWidth="1"/>
    <col min="11" max="11" width="28.7109375" style="60" customWidth="1"/>
    <col min="12" max="12" width="21.5703125" style="18" bestFit="1" customWidth="1"/>
    <col min="13" max="13" width="20.7109375" style="18" customWidth="1"/>
    <col min="14" max="14" width="10.5703125" style="58" customWidth="1"/>
    <col min="15" max="16384" width="9.140625" style="58"/>
  </cols>
  <sheetData>
    <row r="1" spans="1:14" ht="21" x14ac:dyDescent="0.35">
      <c r="A1" s="362" t="s">
        <v>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</row>
    <row r="2" spans="1:14" ht="18.75" x14ac:dyDescent="0.3">
      <c r="A2" s="363" t="s">
        <v>73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</row>
    <row r="4" spans="1:14" ht="15.75" x14ac:dyDescent="0.25">
      <c r="A4" s="15" t="s">
        <v>0</v>
      </c>
      <c r="B4" s="16" t="s">
        <v>1</v>
      </c>
      <c r="C4" s="17" t="s">
        <v>2</v>
      </c>
      <c r="D4" s="16" t="s">
        <v>119</v>
      </c>
      <c r="E4" s="16" t="s">
        <v>94</v>
      </c>
      <c r="F4" s="16" t="s">
        <v>4</v>
      </c>
      <c r="G4" s="16" t="s">
        <v>5</v>
      </c>
      <c r="H4" s="61" t="s">
        <v>6</v>
      </c>
      <c r="I4" s="62" t="s">
        <v>7</v>
      </c>
      <c r="J4" s="62" t="s">
        <v>100</v>
      </c>
      <c r="K4" s="62" t="s">
        <v>101</v>
      </c>
      <c r="L4" s="16" t="s">
        <v>95</v>
      </c>
      <c r="M4" s="16" t="s">
        <v>96</v>
      </c>
      <c r="N4" s="16" t="s">
        <v>72</v>
      </c>
    </row>
    <row r="5" spans="1:14" x14ac:dyDescent="0.25">
      <c r="A5" s="18">
        <v>1</v>
      </c>
      <c r="B5" s="19" t="s">
        <v>27</v>
      </c>
      <c r="C5" s="19" t="s">
        <v>41</v>
      </c>
      <c r="D5" s="20">
        <v>73500</v>
      </c>
      <c r="E5" s="21">
        <v>95000</v>
      </c>
      <c r="F5" s="18">
        <v>138</v>
      </c>
      <c r="G5" s="18">
        <v>36</v>
      </c>
      <c r="H5" s="63">
        <f>Table24[STOK]-Table24[TERJUAL]</f>
        <v>102</v>
      </c>
      <c r="I5" s="21">
        <f>(Table24[HRGA JUAL]*Table24[TERJUAL])-(Table24[HARGA POKOK]*Table24[TERJUAL])</f>
        <v>774000</v>
      </c>
      <c r="J5" s="21">
        <f>(Table24[HRGA JUAL]*Table24[TERJUAL])</f>
        <v>3420000</v>
      </c>
      <c r="K5" s="21">
        <f>Table24[HRGA JUAL]*Table24[SISA]</f>
        <v>9690000</v>
      </c>
      <c r="L5" s="64">
        <f>Table24[HARGA POKOK]*Table24[STOK]</f>
        <v>10143000</v>
      </c>
      <c r="M5" s="64">
        <f>Table24[HRGA JUAL]*Table24[STOK]</f>
        <v>13110000</v>
      </c>
    </row>
    <row r="6" spans="1:14" x14ac:dyDescent="0.25">
      <c r="A6" s="22">
        <v>2</v>
      </c>
      <c r="B6" s="19" t="s">
        <v>27</v>
      </c>
      <c r="C6" s="90" t="s">
        <v>42</v>
      </c>
      <c r="D6" s="24">
        <v>58500</v>
      </c>
      <c r="E6" s="24">
        <v>80000</v>
      </c>
      <c r="F6" s="22">
        <v>53</v>
      </c>
      <c r="G6" s="22">
        <v>3</v>
      </c>
      <c r="H6" s="65">
        <f>Table24[STOK]-Table24[TERJUAL]</f>
        <v>50</v>
      </c>
      <c r="I6" s="21">
        <f>(Table24[HRGA JUAL]*Table24[TERJUAL])-(Table24[HARGA POKOK]*Table24[TERJUAL])</f>
        <v>64500</v>
      </c>
      <c r="J6" s="24">
        <f>(Table24[HRGA JUAL]*Table24[TERJUAL])</f>
        <v>240000</v>
      </c>
      <c r="K6" s="24">
        <f>Table24[HRGA JUAL]*Table24[SISA]</f>
        <v>4000000</v>
      </c>
      <c r="L6" s="64">
        <f>Table24[HARGA POKOK]*Table24[STOK]</f>
        <v>3100500</v>
      </c>
      <c r="M6" s="64">
        <f>Table24[HRGA JUAL]*Table24[STOK]</f>
        <v>4240000</v>
      </c>
    </row>
    <row r="7" spans="1:14" x14ac:dyDescent="0.25">
      <c r="A7" s="18">
        <v>3</v>
      </c>
      <c r="B7" s="19" t="s">
        <v>27</v>
      </c>
      <c r="C7" s="19" t="s">
        <v>43</v>
      </c>
      <c r="D7" s="21">
        <v>52500</v>
      </c>
      <c r="E7" s="21">
        <v>75000</v>
      </c>
      <c r="F7" s="18">
        <v>40</v>
      </c>
      <c r="H7" s="63">
        <f>Table24[STOK]-Table24[TERJUAL]</f>
        <v>40</v>
      </c>
      <c r="I7" s="21">
        <f>(Table24[HRGA JUAL]*Table24[TERJUAL])-(Table24[HARGA POKOK]*Table24[TERJUAL])</f>
        <v>0</v>
      </c>
      <c r="J7" s="21">
        <f>(Table24[HRGA JUAL]*Table24[TERJUAL])</f>
        <v>0</v>
      </c>
      <c r="K7" s="21">
        <f>Table24[HRGA JUAL]*Table24[SISA]</f>
        <v>3000000</v>
      </c>
      <c r="L7" s="64">
        <f>Table24[HARGA POKOK]*Table24[STOK]</f>
        <v>2100000</v>
      </c>
      <c r="M7" s="64">
        <f>Table24[HRGA JUAL]*Table24[STOK]</f>
        <v>3000000</v>
      </c>
    </row>
    <row r="8" spans="1:14" x14ac:dyDescent="0.25">
      <c r="A8" s="22">
        <v>4</v>
      </c>
      <c r="B8" s="19" t="s">
        <v>27</v>
      </c>
      <c r="C8" s="19" t="s">
        <v>44</v>
      </c>
      <c r="D8" s="21">
        <v>63500</v>
      </c>
      <c r="E8" s="21">
        <v>80000</v>
      </c>
      <c r="F8" s="18">
        <v>80</v>
      </c>
      <c r="G8" s="18">
        <v>29</v>
      </c>
      <c r="H8" s="63">
        <f>Table24[STOK]-Table24[TERJUAL]</f>
        <v>51</v>
      </c>
      <c r="I8" s="21">
        <f>(Table24[HRGA JUAL]*Table24[TERJUAL])-(Table24[HARGA POKOK]*Table24[TERJUAL])</f>
        <v>478500</v>
      </c>
      <c r="J8" s="21">
        <f>(Table24[HRGA JUAL]*Table24[TERJUAL])</f>
        <v>2320000</v>
      </c>
      <c r="K8" s="21">
        <f>Table24[HRGA JUAL]*Table24[SISA]</f>
        <v>4080000</v>
      </c>
      <c r="L8" s="64">
        <f>Table24[HARGA POKOK]*Table24[STOK]</f>
        <v>5080000</v>
      </c>
      <c r="M8" s="64">
        <f>Table24[HRGA JUAL]*Table24[STOK]</f>
        <v>6400000</v>
      </c>
    </row>
    <row r="9" spans="1:14" x14ac:dyDescent="0.25">
      <c r="A9" s="18">
        <v>5</v>
      </c>
      <c r="B9" s="19" t="s">
        <v>27</v>
      </c>
      <c r="C9" s="19" t="s">
        <v>45</v>
      </c>
      <c r="D9" s="21">
        <v>58500</v>
      </c>
      <c r="E9" s="21">
        <v>80000</v>
      </c>
      <c r="F9" s="18">
        <v>86</v>
      </c>
      <c r="G9" s="18">
        <v>4</v>
      </c>
      <c r="H9" s="63">
        <f>Table24[STOK]-Table24[TERJUAL]</f>
        <v>82</v>
      </c>
      <c r="I9" s="21">
        <f>(Table24[HRGA JUAL]*Table24[TERJUAL])-(Table24[HARGA POKOK]*Table24[TERJUAL])</f>
        <v>86000</v>
      </c>
      <c r="J9" s="21">
        <f>(Table24[HRGA JUAL]*Table24[TERJUAL])</f>
        <v>320000</v>
      </c>
      <c r="K9" s="21">
        <f>Table24[HRGA JUAL]*Table24[SISA]</f>
        <v>6560000</v>
      </c>
      <c r="L9" s="64">
        <f>Table24[HARGA POKOK]*Table24[STOK]</f>
        <v>5031000</v>
      </c>
      <c r="M9" s="64">
        <f>Table24[HRGA JUAL]*Table24[STOK]</f>
        <v>6880000</v>
      </c>
    </row>
    <row r="10" spans="1:14" x14ac:dyDescent="0.25">
      <c r="A10" s="22">
        <v>6</v>
      </c>
      <c r="B10" s="19" t="s">
        <v>27</v>
      </c>
      <c r="C10" s="19" t="s">
        <v>46</v>
      </c>
      <c r="D10" s="21">
        <v>83500</v>
      </c>
      <c r="E10" s="21">
        <v>110000</v>
      </c>
      <c r="F10" s="18">
        <v>40</v>
      </c>
      <c r="H10" s="63">
        <f>Table24[STOK]-Table24[TERJUAL]</f>
        <v>40</v>
      </c>
      <c r="I10" s="21">
        <f>(Table24[HRGA JUAL]*Table24[TERJUAL])-(Table24[HARGA POKOK]*Table24[TERJUAL])</f>
        <v>0</v>
      </c>
      <c r="J10" s="21">
        <f>(Table24[HRGA JUAL]*Table24[TERJUAL])</f>
        <v>0</v>
      </c>
      <c r="K10" s="21">
        <f>Table24[HRGA JUAL]*Table24[SISA]</f>
        <v>4400000</v>
      </c>
      <c r="L10" s="64">
        <f>Table24[HARGA POKOK]*Table24[STOK]</f>
        <v>3340000</v>
      </c>
      <c r="M10" s="64">
        <f>Table24[HRGA JUAL]*Table24[STOK]</f>
        <v>4400000</v>
      </c>
    </row>
    <row r="11" spans="1:14" x14ac:dyDescent="0.25">
      <c r="A11" s="18">
        <v>7</v>
      </c>
      <c r="B11" s="19" t="s">
        <v>28</v>
      </c>
      <c r="C11" s="19" t="s">
        <v>38</v>
      </c>
      <c r="D11" s="21">
        <v>88500</v>
      </c>
      <c r="E11" s="21">
        <v>115000</v>
      </c>
      <c r="F11" s="18">
        <v>18</v>
      </c>
      <c r="H11" s="63">
        <f>Table24[STOK]-Table24[TERJUAL]</f>
        <v>18</v>
      </c>
      <c r="I11" s="21">
        <f>(Table24[HRGA JUAL]*Table24[TERJUAL])-(Table24[HARGA POKOK]*Table24[TERJUAL])</f>
        <v>0</v>
      </c>
      <c r="J11" s="21">
        <f>(Table24[HRGA JUAL]*Table24[TERJUAL])</f>
        <v>0</v>
      </c>
      <c r="K11" s="21">
        <f>Table24[HRGA JUAL]*Table24[SISA]</f>
        <v>2070000</v>
      </c>
      <c r="L11" s="64">
        <f>Table24[HARGA POKOK]*Table24[STOK]</f>
        <v>1593000</v>
      </c>
      <c r="M11" s="64">
        <f>Table24[HRGA JUAL]*Table24[STOK]</f>
        <v>2070000</v>
      </c>
    </row>
    <row r="12" spans="1:14" x14ac:dyDescent="0.25">
      <c r="A12" s="22">
        <v>8</v>
      </c>
      <c r="B12" s="90" t="s">
        <v>28</v>
      </c>
      <c r="C12" s="90" t="s">
        <v>10</v>
      </c>
      <c r="D12" s="24">
        <v>84500</v>
      </c>
      <c r="E12" s="24">
        <v>90000</v>
      </c>
      <c r="F12" s="22">
        <v>66</v>
      </c>
      <c r="G12" s="22">
        <v>3</v>
      </c>
      <c r="H12" s="65">
        <f>Table24[STOK]-Table24[TERJUAL]</f>
        <v>63</v>
      </c>
      <c r="I12" s="21">
        <f>(Table24[HRGA JUAL]*Table24[TERJUAL])-(Table24[HARGA POKOK]*Table24[TERJUAL])</f>
        <v>16500</v>
      </c>
      <c r="J12" s="24">
        <f>(Table24[HRGA JUAL]*Table24[TERJUAL])</f>
        <v>270000</v>
      </c>
      <c r="K12" s="24">
        <f>Table24[HRGA JUAL]*Table24[SISA]</f>
        <v>5670000</v>
      </c>
      <c r="L12" s="64">
        <f>Table24[HARGA POKOK]*Table24[STOK]</f>
        <v>5577000</v>
      </c>
      <c r="M12" s="64">
        <f>Table24[HRGA JUAL]*Table24[STOK]</f>
        <v>5940000</v>
      </c>
    </row>
    <row r="13" spans="1:14" x14ac:dyDescent="0.25">
      <c r="A13" s="18">
        <v>9</v>
      </c>
      <c r="B13" s="90" t="s">
        <v>28</v>
      </c>
      <c r="C13" s="19" t="s">
        <v>11</v>
      </c>
      <c r="D13" s="21">
        <v>158000</v>
      </c>
      <c r="E13" s="21">
        <v>180000</v>
      </c>
      <c r="F13" s="18">
        <v>21</v>
      </c>
      <c r="G13" s="18">
        <v>3</v>
      </c>
      <c r="H13" s="63">
        <f>Table24[STOK]-Table24[TERJUAL]</f>
        <v>18</v>
      </c>
      <c r="I13" s="21">
        <f>(Table24[HRGA JUAL]*Table24[TERJUAL])-(Table24[HARGA POKOK]*Table24[TERJUAL])</f>
        <v>66000</v>
      </c>
      <c r="J13" s="21">
        <f>(Table24[HRGA JUAL]*Table24[TERJUAL])</f>
        <v>540000</v>
      </c>
      <c r="K13" s="21">
        <f>Table24[HRGA JUAL]*Table24[SISA]</f>
        <v>3240000</v>
      </c>
      <c r="L13" s="64">
        <f>Table24[HARGA POKOK]*Table24[STOK]</f>
        <v>3318000</v>
      </c>
      <c r="M13" s="64">
        <f>Table24[HRGA JUAL]*Table24[STOK]</f>
        <v>3780000</v>
      </c>
    </row>
    <row r="14" spans="1:14" x14ac:dyDescent="0.25">
      <c r="A14" s="22">
        <v>10</v>
      </c>
      <c r="B14" s="90" t="s">
        <v>28</v>
      </c>
      <c r="C14" s="19" t="s">
        <v>12</v>
      </c>
      <c r="D14" s="21">
        <v>133000</v>
      </c>
      <c r="E14" s="21">
        <v>165000</v>
      </c>
      <c r="F14" s="18">
        <v>90</v>
      </c>
      <c r="G14" s="18">
        <v>1</v>
      </c>
      <c r="H14" s="63">
        <f>Table24[STOK]-Table24[TERJUAL]</f>
        <v>89</v>
      </c>
      <c r="I14" s="21">
        <f>(Table24[HRGA JUAL]*Table24[TERJUAL])-(Table24[HARGA POKOK]*Table24[TERJUAL])</f>
        <v>32000</v>
      </c>
      <c r="J14" s="21">
        <f>(Table24[HRGA JUAL]*Table24[TERJUAL])</f>
        <v>165000</v>
      </c>
      <c r="K14" s="21">
        <f>Table24[HRGA JUAL]*Table24[SISA]</f>
        <v>14685000</v>
      </c>
      <c r="L14" s="64">
        <f>Table24[HARGA POKOK]*Table24[STOK]</f>
        <v>11970000</v>
      </c>
      <c r="M14" s="64">
        <f>Table24[HRGA JUAL]*Table24[STOK]</f>
        <v>14850000</v>
      </c>
    </row>
    <row r="15" spans="1:14" x14ac:dyDescent="0.25">
      <c r="A15" s="18">
        <v>11</v>
      </c>
      <c r="B15" s="90" t="s">
        <v>28</v>
      </c>
      <c r="C15" s="19" t="s">
        <v>39</v>
      </c>
      <c r="D15" s="21">
        <v>29500</v>
      </c>
      <c r="E15" s="21">
        <v>40000</v>
      </c>
      <c r="F15" s="18">
        <v>31</v>
      </c>
      <c r="G15" s="18">
        <v>8</v>
      </c>
      <c r="H15" s="63">
        <f>Table24[STOK]-Table24[TERJUAL]</f>
        <v>23</v>
      </c>
      <c r="I15" s="21">
        <f>(Table24[HRGA JUAL]*Table24[TERJUAL])-(Table24[HARGA POKOK]*Table24[TERJUAL])</f>
        <v>84000</v>
      </c>
      <c r="J15" s="21">
        <f>(Table24[HRGA JUAL]*Table24[TERJUAL])</f>
        <v>320000</v>
      </c>
      <c r="K15" s="21">
        <f>Table24[HRGA JUAL]*Table24[SISA]</f>
        <v>920000</v>
      </c>
      <c r="L15" s="64">
        <f>Table24[HARGA POKOK]*Table24[STOK]</f>
        <v>914500</v>
      </c>
      <c r="M15" s="64">
        <f>Table24[HRGA JUAL]*Table24[STOK]</f>
        <v>1240000</v>
      </c>
    </row>
    <row r="16" spans="1:14" x14ac:dyDescent="0.25">
      <c r="A16" s="22">
        <v>12</v>
      </c>
      <c r="B16" s="90" t="s">
        <v>28</v>
      </c>
      <c r="C16" s="19" t="s">
        <v>47</v>
      </c>
      <c r="D16" s="21">
        <v>66000</v>
      </c>
      <c r="E16" s="21">
        <v>85000</v>
      </c>
      <c r="F16" s="18">
        <v>70</v>
      </c>
      <c r="H16" s="63">
        <f>Table24[STOK]-Table24[TERJUAL]</f>
        <v>70</v>
      </c>
      <c r="I16" s="21">
        <f>(Table24[HRGA JUAL]*Table24[TERJUAL])-(Table24[HARGA POKOK]*Table24[TERJUAL])</f>
        <v>0</v>
      </c>
      <c r="J16" s="21">
        <f>(Table24[HRGA JUAL]*Table24[TERJUAL])</f>
        <v>0</v>
      </c>
      <c r="K16" s="21">
        <f>Table24[HRGA JUAL]*Table24[SISA]</f>
        <v>5950000</v>
      </c>
      <c r="L16" s="64">
        <f>Table24[HARGA POKOK]*Table24[STOK]</f>
        <v>4620000</v>
      </c>
      <c r="M16" s="64">
        <f>Table24[HRGA JUAL]*Table24[STOK]</f>
        <v>5950000</v>
      </c>
    </row>
    <row r="17" spans="1:13" x14ac:dyDescent="0.25">
      <c r="A17" s="18">
        <v>13</v>
      </c>
      <c r="B17" s="90" t="s">
        <v>28</v>
      </c>
      <c r="C17" s="19" t="s">
        <v>48</v>
      </c>
      <c r="D17" s="21">
        <v>22500</v>
      </c>
      <c r="E17" s="21">
        <v>33000</v>
      </c>
      <c r="F17" s="18">
        <v>400</v>
      </c>
      <c r="G17" s="18">
        <v>1</v>
      </c>
      <c r="H17" s="63">
        <f>Table24[STOK]-Table24[TERJUAL]</f>
        <v>399</v>
      </c>
      <c r="I17" s="21">
        <f>(Table24[HRGA JUAL]*Table24[TERJUAL])-(Table24[HARGA POKOK]*Table24[TERJUAL])</f>
        <v>10500</v>
      </c>
      <c r="J17" s="21">
        <f>(Table24[HRGA JUAL]*Table24[TERJUAL])</f>
        <v>33000</v>
      </c>
      <c r="K17" s="21">
        <f>Table24[HRGA JUAL]*Table24[SISA]</f>
        <v>13167000</v>
      </c>
      <c r="L17" s="64">
        <f>Table24[HARGA POKOK]*Table24[STOK]</f>
        <v>9000000</v>
      </c>
      <c r="M17" s="64">
        <f>Table24[HRGA JUAL]*Table24[STOK]</f>
        <v>13200000</v>
      </c>
    </row>
    <row r="18" spans="1:13" x14ac:dyDescent="0.25">
      <c r="A18" s="22">
        <v>14</v>
      </c>
      <c r="B18" s="90" t="s">
        <v>28</v>
      </c>
      <c r="C18" s="19" t="s">
        <v>49</v>
      </c>
      <c r="D18" s="21">
        <v>56000</v>
      </c>
      <c r="E18" s="21">
        <v>80000</v>
      </c>
      <c r="F18" s="18">
        <v>93</v>
      </c>
      <c r="G18" s="18">
        <v>2</v>
      </c>
      <c r="H18" s="63">
        <f>Table24[STOK]-Table24[TERJUAL]</f>
        <v>91</v>
      </c>
      <c r="I18" s="21">
        <f>(Table24[HRGA JUAL]*Table24[TERJUAL])-(Table24[HARGA POKOK]*Table24[TERJUAL])</f>
        <v>48000</v>
      </c>
      <c r="J18" s="21">
        <f>(Table24[HRGA JUAL]*Table24[TERJUAL])</f>
        <v>160000</v>
      </c>
      <c r="K18" s="21">
        <f>Table24[HRGA JUAL]*Table24[SISA]</f>
        <v>7280000</v>
      </c>
      <c r="L18" s="64">
        <f>Table24[HARGA POKOK]*Table24[STOK]</f>
        <v>5208000</v>
      </c>
      <c r="M18" s="64">
        <f>Table24[HRGA JUAL]*Table24[STOK]</f>
        <v>7440000</v>
      </c>
    </row>
    <row r="19" spans="1:13" x14ac:dyDescent="0.25">
      <c r="A19" s="18">
        <v>15</v>
      </c>
      <c r="B19" s="90" t="s">
        <v>28</v>
      </c>
      <c r="C19" s="19" t="s">
        <v>50</v>
      </c>
      <c r="D19" s="21">
        <v>40000</v>
      </c>
      <c r="E19" s="21">
        <v>60000</v>
      </c>
      <c r="F19" s="18">
        <v>35</v>
      </c>
      <c r="H19" s="63">
        <f>Table24[STOK]-Table24[TERJUAL]</f>
        <v>35</v>
      </c>
      <c r="I19" s="21">
        <f>(Table24[HRGA JUAL]*Table24[TERJUAL])-(Table24[HARGA POKOK]*Table24[TERJUAL])</f>
        <v>0</v>
      </c>
      <c r="J19" s="21">
        <f>(Table24[HRGA JUAL]*Table24[TERJUAL])</f>
        <v>0</v>
      </c>
      <c r="K19" s="21">
        <f>Table24[HRGA JUAL]*Table24[SISA]</f>
        <v>2100000</v>
      </c>
      <c r="L19" s="64">
        <f>Table24[HARGA POKOK]*Table24[STOK]</f>
        <v>1400000</v>
      </c>
      <c r="M19" s="64">
        <f>Table24[HRGA JUAL]*Table24[STOK]</f>
        <v>2100000</v>
      </c>
    </row>
    <row r="20" spans="1:13" x14ac:dyDescent="0.25">
      <c r="A20" s="22">
        <v>16</v>
      </c>
      <c r="B20" s="90" t="s">
        <v>28</v>
      </c>
      <c r="C20" s="19" t="s">
        <v>51</v>
      </c>
      <c r="D20" s="21">
        <v>60000</v>
      </c>
      <c r="E20" s="21">
        <v>85000</v>
      </c>
      <c r="F20" s="18">
        <v>80</v>
      </c>
      <c r="H20" s="63">
        <f>Table24[STOK]-Table24[TERJUAL]</f>
        <v>80</v>
      </c>
      <c r="I20" s="21">
        <f>(Table24[HRGA JUAL]*Table24[TERJUAL])-(Table24[HARGA POKOK]*Table24[TERJUAL])</f>
        <v>0</v>
      </c>
      <c r="J20" s="21">
        <f>(Table24[HRGA JUAL]*Table24[TERJUAL])</f>
        <v>0</v>
      </c>
      <c r="K20" s="21">
        <f>Table24[HRGA JUAL]*Table24[SISA]</f>
        <v>6800000</v>
      </c>
      <c r="L20" s="64">
        <f>Table24[HARGA POKOK]*Table24[STOK]</f>
        <v>4800000</v>
      </c>
      <c r="M20" s="64">
        <f>Table24[HRGA JUAL]*Table24[STOK]</f>
        <v>6800000</v>
      </c>
    </row>
    <row r="21" spans="1:13" x14ac:dyDescent="0.25">
      <c r="A21" s="18">
        <v>17</v>
      </c>
      <c r="B21" s="90" t="s">
        <v>28</v>
      </c>
      <c r="C21" s="19" t="s">
        <v>52</v>
      </c>
      <c r="D21" s="21">
        <v>30000</v>
      </c>
      <c r="E21" s="21">
        <v>45000</v>
      </c>
      <c r="F21" s="18">
        <v>100</v>
      </c>
      <c r="G21" s="18">
        <v>2</v>
      </c>
      <c r="H21" s="63">
        <f>Table24[STOK]-Table24[TERJUAL]</f>
        <v>98</v>
      </c>
      <c r="I21" s="21">
        <f>(Table24[HRGA JUAL]*Table24[TERJUAL])-(Table24[HARGA POKOK]*Table24[TERJUAL])</f>
        <v>30000</v>
      </c>
      <c r="J21" s="21">
        <f>(Table24[HRGA JUAL]*Table24[TERJUAL])</f>
        <v>90000</v>
      </c>
      <c r="K21" s="21">
        <f>Table24[HRGA JUAL]*Table24[SISA]</f>
        <v>4410000</v>
      </c>
      <c r="L21" s="64">
        <f>Table24[HARGA POKOK]*Table24[STOK]</f>
        <v>3000000</v>
      </c>
      <c r="M21" s="64">
        <f>Table24[HRGA JUAL]*Table24[STOK]</f>
        <v>4500000</v>
      </c>
    </row>
    <row r="22" spans="1:13" x14ac:dyDescent="0.25">
      <c r="A22" s="22">
        <v>18</v>
      </c>
      <c r="B22" s="90" t="s">
        <v>28</v>
      </c>
      <c r="C22" s="19" t="s">
        <v>53</v>
      </c>
      <c r="D22" s="21">
        <v>2500</v>
      </c>
      <c r="E22" s="21">
        <v>5000</v>
      </c>
      <c r="F22" s="18">
        <v>20</v>
      </c>
      <c r="G22" s="18">
        <v>1</v>
      </c>
      <c r="H22" s="63">
        <f>Table24[STOK]-Table24[TERJUAL]</f>
        <v>19</v>
      </c>
      <c r="I22" s="21">
        <f>(Table24[HRGA JUAL]*Table24[TERJUAL])-(Table24[HARGA POKOK]*Table24[TERJUAL])</f>
        <v>2500</v>
      </c>
      <c r="J22" s="21">
        <f>(Table24[HRGA JUAL]*Table24[TERJUAL])</f>
        <v>5000</v>
      </c>
      <c r="K22" s="21">
        <f>Table24[HRGA JUAL]*Table24[SISA]</f>
        <v>95000</v>
      </c>
      <c r="L22" s="64">
        <f>Table24[HARGA POKOK]*Table24[STOK]</f>
        <v>50000</v>
      </c>
      <c r="M22" s="64">
        <f>Table24[HRGA JUAL]*Table24[STOK]</f>
        <v>100000</v>
      </c>
    </row>
    <row r="23" spans="1:13" x14ac:dyDescent="0.25">
      <c r="A23" s="18">
        <v>19</v>
      </c>
      <c r="B23" s="19" t="s">
        <v>29</v>
      </c>
      <c r="C23" s="19" t="s">
        <v>54</v>
      </c>
      <c r="D23" s="21">
        <v>47500</v>
      </c>
      <c r="E23" s="21">
        <v>60000</v>
      </c>
      <c r="F23" s="18">
        <v>100</v>
      </c>
      <c r="H23" s="63">
        <f>Table24[STOK]-Table24[TERJUAL]</f>
        <v>100</v>
      </c>
      <c r="I23" s="21">
        <f>(Table24[HRGA JUAL]*Table24[TERJUAL])-(Table24[HARGA POKOK]*Table24[TERJUAL])</f>
        <v>0</v>
      </c>
      <c r="J23" s="21">
        <f>(Table24[HRGA JUAL]*Table24[TERJUAL])</f>
        <v>0</v>
      </c>
      <c r="K23" s="21">
        <f>Table24[HRGA JUAL]*Table24[SISA]</f>
        <v>6000000</v>
      </c>
      <c r="L23" s="64">
        <f>Table24[HARGA POKOK]*Table24[STOK]</f>
        <v>4750000</v>
      </c>
      <c r="M23" s="64">
        <f>Table24[HRGA JUAL]*Table24[STOK]</f>
        <v>6000000</v>
      </c>
    </row>
    <row r="24" spans="1:13" x14ac:dyDescent="0.25">
      <c r="A24" s="22">
        <v>20</v>
      </c>
      <c r="B24" s="19" t="s">
        <v>29</v>
      </c>
      <c r="C24" s="19" t="s">
        <v>55</v>
      </c>
      <c r="D24" s="21">
        <v>133500</v>
      </c>
      <c r="E24" s="21">
        <v>143000</v>
      </c>
      <c r="F24" s="18">
        <v>20</v>
      </c>
      <c r="H24" s="63">
        <f>Table24[STOK]-Table24[TERJUAL]</f>
        <v>20</v>
      </c>
      <c r="I24" s="21">
        <f>(Table24[HRGA JUAL]*Table24[TERJUAL])-(Table24[HARGA POKOK]*Table24[TERJUAL])</f>
        <v>0</v>
      </c>
      <c r="J24" s="21">
        <f>(Table24[HRGA JUAL]*Table24[TERJUAL])</f>
        <v>0</v>
      </c>
      <c r="K24" s="21">
        <f>Table24[HRGA JUAL]*Table24[SISA]</f>
        <v>2860000</v>
      </c>
      <c r="L24" s="64">
        <f>Table24[HARGA POKOK]*Table24[STOK]</f>
        <v>2670000</v>
      </c>
      <c r="M24" s="64">
        <f>Table24[HRGA JUAL]*Table24[STOK]</f>
        <v>2860000</v>
      </c>
    </row>
    <row r="25" spans="1:13" x14ac:dyDescent="0.25">
      <c r="A25" s="18">
        <v>21</v>
      </c>
      <c r="B25" s="19" t="s">
        <v>29</v>
      </c>
      <c r="C25" s="90" t="s">
        <v>56</v>
      </c>
      <c r="D25" s="24">
        <v>77500</v>
      </c>
      <c r="E25" s="24">
        <v>120000</v>
      </c>
      <c r="F25" s="22">
        <v>50</v>
      </c>
      <c r="G25" s="22">
        <v>4</v>
      </c>
      <c r="H25" s="65">
        <f>Table24[STOK]-Table24[TERJUAL]</f>
        <v>46</v>
      </c>
      <c r="I25" s="21">
        <f>(Table24[HRGA JUAL]*Table24[TERJUAL])-(Table24[HARGA POKOK]*Table24[TERJUAL])</f>
        <v>170000</v>
      </c>
      <c r="J25" s="24">
        <f>(Table24[HRGA JUAL]*Table24[TERJUAL])</f>
        <v>480000</v>
      </c>
      <c r="K25" s="24">
        <f>Table24[HRGA JUAL]*Table24[SISA]</f>
        <v>5520000</v>
      </c>
      <c r="L25" s="64">
        <f>Table24[HARGA POKOK]*Table24[STOK]</f>
        <v>3875000</v>
      </c>
      <c r="M25" s="64">
        <f>Table24[HRGA JUAL]*Table24[STOK]</f>
        <v>6000000</v>
      </c>
    </row>
    <row r="26" spans="1:13" x14ac:dyDescent="0.25">
      <c r="A26" s="22">
        <v>22</v>
      </c>
      <c r="B26" s="19" t="s">
        <v>29</v>
      </c>
      <c r="C26" s="19" t="s">
        <v>57</v>
      </c>
      <c r="D26" s="21">
        <v>165000</v>
      </c>
      <c r="E26" s="21">
        <v>210000</v>
      </c>
      <c r="F26" s="18">
        <v>40</v>
      </c>
      <c r="H26" s="63">
        <f>Table24[STOK]-Table24[TERJUAL]</f>
        <v>40</v>
      </c>
      <c r="I26" s="21">
        <f>(Table24[HRGA JUAL]*Table24[TERJUAL])-(Table24[HARGA POKOK]*Table24[TERJUAL])</f>
        <v>0</v>
      </c>
      <c r="J26" s="21">
        <f>(Table24[HRGA JUAL]*Table24[TERJUAL])</f>
        <v>0</v>
      </c>
      <c r="K26" s="21">
        <f>Table24[HRGA JUAL]*Table24[SISA]</f>
        <v>8400000</v>
      </c>
      <c r="L26" s="64">
        <f>Table24[HARGA POKOK]*Table24[STOK]</f>
        <v>6600000</v>
      </c>
      <c r="M26" s="64">
        <f>Table24[HRGA JUAL]*Table24[STOK]</f>
        <v>8400000</v>
      </c>
    </row>
    <row r="27" spans="1:13" x14ac:dyDescent="0.25">
      <c r="A27" s="18">
        <v>23</v>
      </c>
      <c r="B27" s="19" t="s">
        <v>30</v>
      </c>
      <c r="C27" s="19" t="s">
        <v>58</v>
      </c>
      <c r="D27" s="21">
        <v>10000</v>
      </c>
      <c r="E27" s="21">
        <v>18000</v>
      </c>
      <c r="F27" s="18">
        <v>90</v>
      </c>
      <c r="H27" s="63">
        <f>Table24[STOK]-Table24[TERJUAL]</f>
        <v>90</v>
      </c>
      <c r="I27" s="21">
        <f>(Table24[HRGA JUAL]*Table24[TERJUAL])-(Table24[HARGA POKOK]*Table24[TERJUAL])</f>
        <v>0</v>
      </c>
      <c r="J27" s="21">
        <f>(Table24[HRGA JUAL]*Table24[TERJUAL])</f>
        <v>0</v>
      </c>
      <c r="K27" s="21">
        <f>Table24[HRGA JUAL]*Table24[SISA]</f>
        <v>1620000</v>
      </c>
      <c r="L27" s="64">
        <f>Table24[HARGA POKOK]*Table24[STOK]</f>
        <v>900000</v>
      </c>
      <c r="M27" s="64">
        <f>Table24[HRGA JUAL]*Table24[STOK]</f>
        <v>1620000</v>
      </c>
    </row>
    <row r="28" spans="1:13" x14ac:dyDescent="0.25">
      <c r="A28" s="22">
        <v>24</v>
      </c>
      <c r="B28" s="19" t="s">
        <v>30</v>
      </c>
      <c r="C28" s="19" t="s">
        <v>59</v>
      </c>
      <c r="D28" s="21">
        <v>27500</v>
      </c>
      <c r="E28" s="21">
        <v>45000</v>
      </c>
      <c r="F28" s="18">
        <v>40</v>
      </c>
      <c r="H28" s="63">
        <f>Table24[STOK]-Table24[TERJUAL]</f>
        <v>40</v>
      </c>
      <c r="I28" s="21">
        <f>(Table24[HRGA JUAL]*Table24[TERJUAL])-(Table24[HARGA POKOK]*Table24[TERJUAL])</f>
        <v>0</v>
      </c>
      <c r="J28" s="21">
        <f>(Table24[HRGA JUAL]*Table24[TERJUAL])</f>
        <v>0</v>
      </c>
      <c r="K28" s="21">
        <f>Table24[HRGA JUAL]*Table24[SISA]</f>
        <v>1800000</v>
      </c>
      <c r="L28" s="64">
        <f>Table24[HARGA POKOK]*Table24[STOK]</f>
        <v>1100000</v>
      </c>
      <c r="M28" s="64">
        <f>Table24[HRGA JUAL]*Table24[STOK]</f>
        <v>1800000</v>
      </c>
    </row>
    <row r="29" spans="1:13" x14ac:dyDescent="0.25">
      <c r="A29" s="18">
        <v>25</v>
      </c>
      <c r="B29" s="19" t="s">
        <v>30</v>
      </c>
      <c r="C29" s="19" t="s">
        <v>60</v>
      </c>
      <c r="D29" s="21">
        <v>12500</v>
      </c>
      <c r="E29" s="21">
        <v>16000</v>
      </c>
      <c r="F29" s="18">
        <v>72</v>
      </c>
      <c r="G29" s="18">
        <v>7</v>
      </c>
      <c r="H29" s="63">
        <f>Table24[STOK]-Table24[TERJUAL]</f>
        <v>65</v>
      </c>
      <c r="I29" s="21">
        <f>(Table24[HRGA JUAL]*Table24[TERJUAL])-(Table24[HARGA POKOK]*Table24[TERJUAL])</f>
        <v>24500</v>
      </c>
      <c r="J29" s="21">
        <f>(Table24[HRGA JUAL]*Table24[TERJUAL])</f>
        <v>112000</v>
      </c>
      <c r="K29" s="21">
        <f>Table24[HRGA JUAL]*Table24[SISA]</f>
        <v>1040000</v>
      </c>
      <c r="L29" s="64">
        <f>Table24[HARGA POKOK]*Table24[STOK]</f>
        <v>900000</v>
      </c>
      <c r="M29" s="64">
        <f>Table24[HRGA JUAL]*Table24[STOK]</f>
        <v>1152000</v>
      </c>
    </row>
    <row r="30" spans="1:13" x14ac:dyDescent="0.25">
      <c r="A30" s="22">
        <v>26</v>
      </c>
      <c r="B30" s="19" t="s">
        <v>30</v>
      </c>
      <c r="C30" s="19" t="s">
        <v>13</v>
      </c>
      <c r="D30" s="21">
        <v>33500</v>
      </c>
      <c r="E30" s="21">
        <v>50000</v>
      </c>
      <c r="F30" s="18">
        <v>48</v>
      </c>
      <c r="G30" s="18">
        <v>3</v>
      </c>
      <c r="H30" s="63">
        <f>Table24[STOK]-Table24[TERJUAL]</f>
        <v>45</v>
      </c>
      <c r="I30" s="21">
        <f>(Table24[HRGA JUAL]*Table24[TERJUAL])-(Table24[HARGA POKOK]*Table24[TERJUAL])</f>
        <v>49500</v>
      </c>
      <c r="J30" s="21">
        <f>(Table24[HRGA JUAL]*Table24[TERJUAL])</f>
        <v>150000</v>
      </c>
      <c r="K30" s="21">
        <f>Table24[HRGA JUAL]*Table24[SISA]</f>
        <v>2250000</v>
      </c>
      <c r="L30" s="64">
        <f>Table24[HARGA POKOK]*Table24[STOK]</f>
        <v>1608000</v>
      </c>
      <c r="M30" s="64">
        <f>Table24[HRGA JUAL]*Table24[STOK]</f>
        <v>2400000</v>
      </c>
    </row>
    <row r="31" spans="1:13" x14ac:dyDescent="0.25">
      <c r="A31" s="18">
        <v>27</v>
      </c>
      <c r="B31" s="19" t="s">
        <v>30</v>
      </c>
      <c r="C31" s="19" t="s">
        <v>14</v>
      </c>
      <c r="D31" s="21">
        <v>8500</v>
      </c>
      <c r="E31" s="21">
        <v>12000</v>
      </c>
      <c r="F31" s="18">
        <v>288</v>
      </c>
      <c r="G31" s="18">
        <v>2</v>
      </c>
      <c r="H31" s="63">
        <f>Table24[STOK]-Table24[TERJUAL]</f>
        <v>286</v>
      </c>
      <c r="I31" s="21">
        <f>(Table24[HRGA JUAL]*Table24[TERJUAL])-(Table24[HARGA POKOK]*Table24[TERJUAL])</f>
        <v>7000</v>
      </c>
      <c r="J31" s="21">
        <f>(Table24[HRGA JUAL]*Table24[TERJUAL])</f>
        <v>24000</v>
      </c>
      <c r="K31" s="21">
        <f>Table24[HRGA JUAL]*Table24[SISA]</f>
        <v>3432000</v>
      </c>
      <c r="L31" s="64">
        <f>Table24[HARGA POKOK]*Table24[STOK]</f>
        <v>2448000</v>
      </c>
      <c r="M31" s="64">
        <f>Table24[HRGA JUAL]*Table24[STOK]</f>
        <v>3456000</v>
      </c>
    </row>
    <row r="32" spans="1:13" x14ac:dyDescent="0.25">
      <c r="A32" s="22">
        <v>28</v>
      </c>
      <c r="B32" s="19" t="s">
        <v>30</v>
      </c>
      <c r="C32" s="19" t="s">
        <v>15</v>
      </c>
      <c r="D32" s="21">
        <v>30500</v>
      </c>
      <c r="E32" s="21">
        <v>45000</v>
      </c>
      <c r="F32" s="18">
        <v>48</v>
      </c>
      <c r="G32" s="18">
        <v>2</v>
      </c>
      <c r="H32" s="63">
        <f>Table24[STOK]-Table24[TERJUAL]</f>
        <v>46</v>
      </c>
      <c r="I32" s="21">
        <f>(Table24[HRGA JUAL]*Table24[TERJUAL])-(Table24[HARGA POKOK]*Table24[TERJUAL])</f>
        <v>29000</v>
      </c>
      <c r="J32" s="21">
        <f>(Table24[HRGA JUAL]*Table24[TERJUAL])</f>
        <v>90000</v>
      </c>
      <c r="K32" s="21">
        <f>Table24[HRGA JUAL]*Table24[SISA]</f>
        <v>2070000</v>
      </c>
      <c r="L32" s="64">
        <f>Table24[HARGA POKOK]*Table24[STOK]</f>
        <v>1464000</v>
      </c>
      <c r="M32" s="64">
        <f>Table24[HRGA JUAL]*Table24[STOK]</f>
        <v>2160000</v>
      </c>
    </row>
    <row r="33" spans="1:13" x14ac:dyDescent="0.25">
      <c r="A33" s="18">
        <v>29</v>
      </c>
      <c r="B33" s="19" t="s">
        <v>30</v>
      </c>
      <c r="C33" s="19" t="s">
        <v>16</v>
      </c>
      <c r="D33" s="21">
        <v>7500</v>
      </c>
      <c r="E33" s="21">
        <v>10000</v>
      </c>
      <c r="F33" s="18">
        <v>288</v>
      </c>
      <c r="H33" s="63">
        <f>Table24[STOK]-Table24[TERJUAL]</f>
        <v>288</v>
      </c>
      <c r="I33" s="21">
        <f>(Table24[HRGA JUAL]*Table24[TERJUAL])-(Table24[HARGA POKOK]*Table24[TERJUAL])</f>
        <v>0</v>
      </c>
      <c r="J33" s="21">
        <f>(Table24[HRGA JUAL]*Table24[TERJUAL])</f>
        <v>0</v>
      </c>
      <c r="K33" s="21">
        <f>Table24[HRGA JUAL]*Table24[SISA]</f>
        <v>2880000</v>
      </c>
      <c r="L33" s="64">
        <f>Table24[HARGA POKOK]*Table24[STOK]</f>
        <v>2160000</v>
      </c>
      <c r="M33" s="64">
        <f>Table24[HRGA JUAL]*Table24[STOK]</f>
        <v>2880000</v>
      </c>
    </row>
    <row r="34" spans="1:13" x14ac:dyDescent="0.25">
      <c r="A34" s="22">
        <v>30</v>
      </c>
      <c r="B34" s="19" t="s">
        <v>35</v>
      </c>
      <c r="C34" s="19" t="s">
        <v>36</v>
      </c>
      <c r="D34" s="21">
        <v>51500</v>
      </c>
      <c r="E34" s="21">
        <v>65000</v>
      </c>
      <c r="F34" s="18">
        <v>20</v>
      </c>
      <c r="G34" s="18">
        <v>7</v>
      </c>
      <c r="H34" s="63">
        <f>Table24[STOK]-Table24[TERJUAL]</f>
        <v>13</v>
      </c>
      <c r="I34" s="21">
        <f>(Table24[HRGA JUAL]*Table24[TERJUAL])-(Table24[HARGA POKOK]*Table24[TERJUAL])</f>
        <v>94500</v>
      </c>
      <c r="J34" s="21">
        <f>(Table24[HRGA JUAL]*Table24[TERJUAL])</f>
        <v>455000</v>
      </c>
      <c r="K34" s="21">
        <f>Table24[HRGA JUAL]*Table24[SISA]</f>
        <v>845000</v>
      </c>
      <c r="L34" s="64">
        <f>Table24[HARGA POKOK]*Table24[STOK]</f>
        <v>1030000</v>
      </c>
      <c r="M34" s="64">
        <f>Table24[HRGA JUAL]*Table24[STOK]</f>
        <v>1300000</v>
      </c>
    </row>
    <row r="35" spans="1:13" x14ac:dyDescent="0.25">
      <c r="A35" s="18">
        <v>31</v>
      </c>
      <c r="B35" s="19" t="s">
        <v>31</v>
      </c>
      <c r="C35" s="19" t="s">
        <v>61</v>
      </c>
      <c r="D35" s="21">
        <v>20000</v>
      </c>
      <c r="E35" s="21">
        <v>30000</v>
      </c>
      <c r="F35" s="18">
        <v>60</v>
      </c>
      <c r="G35" s="18">
        <v>7</v>
      </c>
      <c r="H35" s="63">
        <f>Table24[STOK]-Table24[TERJUAL]</f>
        <v>53</v>
      </c>
      <c r="I35" s="21">
        <f>(Table24[HRGA JUAL]*Table24[TERJUAL])-(Table24[HARGA POKOK]*Table24[TERJUAL])</f>
        <v>70000</v>
      </c>
      <c r="J35" s="21">
        <f>(Table24[HRGA JUAL]*Table24[TERJUAL])</f>
        <v>210000</v>
      </c>
      <c r="K35" s="21">
        <f>Table24[HRGA JUAL]*Table24[SISA]</f>
        <v>1590000</v>
      </c>
      <c r="L35" s="64">
        <f>Table24[HARGA POKOK]*Table24[STOK]</f>
        <v>1200000</v>
      </c>
      <c r="M35" s="64">
        <f>Table24[HRGA JUAL]*Table24[STOK]</f>
        <v>1800000</v>
      </c>
    </row>
    <row r="36" spans="1:13" x14ac:dyDescent="0.25">
      <c r="A36" s="22">
        <v>32</v>
      </c>
      <c r="B36" s="19" t="s">
        <v>31</v>
      </c>
      <c r="C36" s="19" t="s">
        <v>62</v>
      </c>
      <c r="D36" s="21">
        <v>35000</v>
      </c>
      <c r="E36" s="21">
        <v>40000</v>
      </c>
      <c r="F36" s="18">
        <v>6</v>
      </c>
      <c r="H36" s="63">
        <f>Table24[STOK]-Table24[TERJUAL]</f>
        <v>6</v>
      </c>
      <c r="I36" s="21">
        <f>(Table24[HRGA JUAL]*Table24[TERJUAL])-(Table24[HARGA POKOK]*Table24[TERJUAL])</f>
        <v>0</v>
      </c>
      <c r="J36" s="21">
        <f>(Table24[HRGA JUAL]*Table24[TERJUAL])</f>
        <v>0</v>
      </c>
      <c r="K36" s="21">
        <f>Table24[HRGA JUAL]*Table24[SISA]</f>
        <v>240000</v>
      </c>
      <c r="L36" s="64">
        <f>Table24[HARGA POKOK]*Table24[STOK]</f>
        <v>210000</v>
      </c>
      <c r="M36" s="64">
        <f>Table24[HRGA JUAL]*Table24[STOK]</f>
        <v>240000</v>
      </c>
    </row>
    <row r="37" spans="1:13" x14ac:dyDescent="0.25">
      <c r="A37" s="18">
        <v>33</v>
      </c>
      <c r="B37" s="19" t="s">
        <v>31</v>
      </c>
      <c r="C37" s="19" t="s">
        <v>63</v>
      </c>
      <c r="D37" s="21">
        <v>35000</v>
      </c>
      <c r="E37" s="21">
        <v>40000</v>
      </c>
      <c r="F37" s="18">
        <v>3</v>
      </c>
      <c r="G37" s="18">
        <v>1</v>
      </c>
      <c r="H37" s="63">
        <f>Table24[STOK]-Table24[TERJUAL]</f>
        <v>2</v>
      </c>
      <c r="I37" s="21">
        <f>(Table24[HRGA JUAL]*Table24[TERJUAL])-(Table24[HARGA POKOK]*Table24[TERJUAL])</f>
        <v>5000</v>
      </c>
      <c r="J37" s="21">
        <f>(Table24[HRGA JUAL]*Table24[TERJUAL])</f>
        <v>40000</v>
      </c>
      <c r="K37" s="21">
        <f>Table24[HRGA JUAL]*Table24[SISA]</f>
        <v>80000</v>
      </c>
      <c r="L37" s="64">
        <f>Table24[HARGA POKOK]*Table24[STOK]</f>
        <v>105000</v>
      </c>
      <c r="M37" s="64">
        <f>Table24[HRGA JUAL]*Table24[STOK]</f>
        <v>120000</v>
      </c>
    </row>
    <row r="38" spans="1:13" x14ac:dyDescent="0.25">
      <c r="A38" s="22">
        <v>34</v>
      </c>
      <c r="B38" s="19" t="s">
        <v>31</v>
      </c>
      <c r="C38" s="19" t="s">
        <v>17</v>
      </c>
      <c r="D38" s="21">
        <v>35000</v>
      </c>
      <c r="E38" s="21">
        <v>40000</v>
      </c>
      <c r="F38" s="18">
        <v>2</v>
      </c>
      <c r="G38" s="18">
        <v>2</v>
      </c>
      <c r="H38" s="63">
        <f>Table24[STOK]-Table24[TERJUAL]</f>
        <v>0</v>
      </c>
      <c r="I38" s="21">
        <f>(Table24[HRGA JUAL]*Table24[TERJUAL])-(Table24[HARGA POKOK]*Table24[TERJUAL])</f>
        <v>10000</v>
      </c>
      <c r="J38" s="21">
        <f>(Table24[HRGA JUAL]*Table24[TERJUAL])</f>
        <v>80000</v>
      </c>
      <c r="K38" s="21">
        <f>Table24[HRGA JUAL]*Table24[SISA]</f>
        <v>0</v>
      </c>
      <c r="L38" s="64">
        <f>Table24[HARGA POKOK]*Table24[STOK]</f>
        <v>70000</v>
      </c>
      <c r="M38" s="64">
        <f>Table24[HRGA JUAL]*Table24[STOK]</f>
        <v>80000</v>
      </c>
    </row>
    <row r="39" spans="1:13" x14ac:dyDescent="0.25">
      <c r="A39" s="18">
        <v>35</v>
      </c>
      <c r="B39" s="19" t="s">
        <v>31</v>
      </c>
      <c r="C39" s="19" t="s">
        <v>64</v>
      </c>
      <c r="D39" s="21">
        <v>35000</v>
      </c>
      <c r="E39" s="21">
        <v>40000</v>
      </c>
      <c r="F39" s="18">
        <v>8</v>
      </c>
      <c r="H39" s="63">
        <f>Table24[STOK]-Table24[TERJUAL]</f>
        <v>8</v>
      </c>
      <c r="I39" s="21">
        <f>(Table24[HRGA JUAL]*Table24[TERJUAL])-(Table24[HARGA POKOK]*Table24[TERJUAL])</f>
        <v>0</v>
      </c>
      <c r="J39" s="21">
        <f>(Table24[HRGA JUAL]*Table24[TERJUAL])</f>
        <v>0</v>
      </c>
      <c r="K39" s="21">
        <f>Table24[HRGA JUAL]*Table24[SISA]</f>
        <v>320000</v>
      </c>
      <c r="L39" s="64">
        <f>Table24[HARGA POKOK]*Table24[STOK]</f>
        <v>280000</v>
      </c>
      <c r="M39" s="64">
        <f>Table24[HRGA JUAL]*Table24[STOK]</f>
        <v>320000</v>
      </c>
    </row>
    <row r="40" spans="1:13" x14ac:dyDescent="0.25">
      <c r="A40" s="22">
        <v>36</v>
      </c>
      <c r="B40" s="19" t="s">
        <v>31</v>
      </c>
      <c r="C40" s="19" t="s">
        <v>65</v>
      </c>
      <c r="D40" s="21">
        <v>35000</v>
      </c>
      <c r="E40" s="21">
        <v>40000</v>
      </c>
      <c r="F40" s="18">
        <v>9</v>
      </c>
      <c r="H40" s="63">
        <v>7</v>
      </c>
      <c r="I40" s="21">
        <f>(Table24[HRGA JUAL]*Table24[TERJUAL])-(Table24[HARGA POKOK]*Table24[TERJUAL])</f>
        <v>0</v>
      </c>
      <c r="J40" s="21">
        <f>(Table24[HRGA JUAL]*Table24[TERJUAL])</f>
        <v>0</v>
      </c>
      <c r="K40" s="21">
        <f>Table24[HRGA JUAL]*Table24[SISA]</f>
        <v>280000</v>
      </c>
      <c r="L40" s="64">
        <f>Table24[HARGA POKOK]*Table24[STOK]</f>
        <v>315000</v>
      </c>
      <c r="M40" s="64">
        <f>Table24[HRGA JUAL]*Table24[STOK]</f>
        <v>360000</v>
      </c>
    </row>
    <row r="41" spans="1:13" x14ac:dyDescent="0.25">
      <c r="A41" s="18">
        <v>37</v>
      </c>
      <c r="B41" s="19" t="s">
        <v>31</v>
      </c>
      <c r="C41" s="90" t="s">
        <v>66</v>
      </c>
      <c r="D41" s="24">
        <v>35000</v>
      </c>
      <c r="E41" s="24">
        <v>40000</v>
      </c>
      <c r="F41" s="22">
        <v>10</v>
      </c>
      <c r="G41" s="22">
        <v>1</v>
      </c>
      <c r="H41" s="65">
        <f>Table24[STOK]-Table24[TERJUAL]</f>
        <v>9</v>
      </c>
      <c r="I41" s="21">
        <f>(Table24[HRGA JUAL]*Table24[TERJUAL])-(Table24[HARGA POKOK]*Table24[TERJUAL])</f>
        <v>5000</v>
      </c>
      <c r="J41" s="24">
        <f>(Table24[HRGA JUAL]*Table24[TERJUAL])</f>
        <v>40000</v>
      </c>
      <c r="K41" s="24">
        <f>Table24[HRGA JUAL]*Table24[SISA]</f>
        <v>360000</v>
      </c>
      <c r="L41" s="64">
        <f>Table24[HARGA POKOK]*Table24[STOK]</f>
        <v>350000</v>
      </c>
      <c r="M41" s="64">
        <f>Table24[HRGA JUAL]*Table24[STOK]</f>
        <v>400000</v>
      </c>
    </row>
    <row r="42" spans="1:13" x14ac:dyDescent="0.25">
      <c r="A42" s="22">
        <v>38</v>
      </c>
      <c r="B42" s="19" t="s">
        <v>31</v>
      </c>
      <c r="C42" s="19" t="s">
        <v>67</v>
      </c>
      <c r="D42" s="21">
        <v>27500</v>
      </c>
      <c r="E42" s="21">
        <v>45000</v>
      </c>
      <c r="F42" s="18">
        <v>87</v>
      </c>
      <c r="H42" s="63">
        <f>Table24[STOK]-Table24[TERJUAL]</f>
        <v>87</v>
      </c>
      <c r="I42" s="21">
        <f>(Table24[HRGA JUAL]*Table24[TERJUAL])-(Table24[HARGA POKOK]*Table24[TERJUAL])</f>
        <v>0</v>
      </c>
      <c r="J42" s="21">
        <f>(Table24[HRGA JUAL]*Table24[TERJUAL])</f>
        <v>0</v>
      </c>
      <c r="K42" s="21">
        <f>Table24[HRGA JUAL]*Table24[SISA]</f>
        <v>3915000</v>
      </c>
      <c r="L42" s="64">
        <f>Table24[HARGA POKOK]*Table24[STOK]</f>
        <v>2392500</v>
      </c>
      <c r="M42" s="64">
        <f>Table24[HRGA JUAL]*Table24[STOK]</f>
        <v>3915000</v>
      </c>
    </row>
    <row r="43" spans="1:13" x14ac:dyDescent="0.25">
      <c r="A43" s="18">
        <v>39</v>
      </c>
      <c r="B43" s="19" t="s">
        <v>32</v>
      </c>
      <c r="C43" s="19" t="s">
        <v>18</v>
      </c>
      <c r="D43" s="21">
        <v>1700</v>
      </c>
      <c r="E43" s="21">
        <v>5000</v>
      </c>
      <c r="F43" s="18"/>
      <c r="H43" s="63">
        <f>Table24[STOK]-Table24[TERJUAL]</f>
        <v>0</v>
      </c>
      <c r="I43" s="21">
        <f>(Table24[HRGA JUAL]*Table24[TERJUAL])-(Table24[HARGA POKOK]*Table24[TERJUAL])</f>
        <v>0</v>
      </c>
      <c r="J43" s="21">
        <f>(Table24[HRGA JUAL]*Table24[TERJUAL])</f>
        <v>0</v>
      </c>
      <c r="K43" s="21">
        <f>Table24[HRGA JUAL]*Table24[SISA]</f>
        <v>0</v>
      </c>
      <c r="L43" s="64">
        <f>Table24[HARGA POKOK]*Table24[STOK]</f>
        <v>0</v>
      </c>
      <c r="M43" s="64">
        <f>Table24[HRGA JUAL]*Table24[STOK]</f>
        <v>0</v>
      </c>
    </row>
    <row r="44" spans="1:13" x14ac:dyDescent="0.25">
      <c r="A44" s="22">
        <v>40</v>
      </c>
      <c r="B44" s="19" t="s">
        <v>32</v>
      </c>
      <c r="C44" s="19" t="s">
        <v>21</v>
      </c>
      <c r="D44" s="21">
        <v>30500</v>
      </c>
      <c r="E44" s="21">
        <v>45000</v>
      </c>
      <c r="F44" s="18">
        <v>4</v>
      </c>
      <c r="G44" s="18">
        <v>2</v>
      </c>
      <c r="H44" s="63">
        <f>Table24[STOK]-Table24[TERJUAL]</f>
        <v>2</v>
      </c>
      <c r="I44" s="21">
        <f>(Table24[HRGA JUAL]*Table24[TERJUAL])-(Table24[HARGA POKOK]*Table24[TERJUAL])</f>
        <v>29000</v>
      </c>
      <c r="J44" s="21">
        <f>(Table24[HRGA JUAL]*Table24[TERJUAL])</f>
        <v>90000</v>
      </c>
      <c r="K44" s="21">
        <f>Table24[HRGA JUAL]*Table24[SISA]</f>
        <v>90000</v>
      </c>
      <c r="L44" s="64">
        <f>Table24[HARGA POKOK]*Table24[STOK]</f>
        <v>122000</v>
      </c>
      <c r="M44" s="64">
        <f>Table24[HRGA JUAL]*Table24[STOK]</f>
        <v>180000</v>
      </c>
    </row>
    <row r="45" spans="1:13" x14ac:dyDescent="0.25">
      <c r="A45" s="18">
        <v>41</v>
      </c>
      <c r="B45" s="19" t="s">
        <v>32</v>
      </c>
      <c r="C45" s="19" t="s">
        <v>20</v>
      </c>
      <c r="D45" s="21">
        <v>1500</v>
      </c>
      <c r="E45" s="21">
        <v>5000</v>
      </c>
      <c r="F45" s="18">
        <v>5</v>
      </c>
      <c r="G45" s="18">
        <v>2</v>
      </c>
      <c r="H45" s="63">
        <f>Table24[STOK]-Table24[TERJUAL]</f>
        <v>3</v>
      </c>
      <c r="I45" s="21">
        <f>(Table24[HRGA JUAL]*Table24[TERJUAL])-(Table24[HARGA POKOK]*Table24[TERJUAL])</f>
        <v>7000</v>
      </c>
      <c r="J45" s="21">
        <f>(Table24[HRGA JUAL]*Table24[TERJUAL])</f>
        <v>10000</v>
      </c>
      <c r="K45" s="21">
        <f>Table24[HRGA JUAL]*Table24[SISA]</f>
        <v>15000</v>
      </c>
      <c r="L45" s="64">
        <f>Table24[HARGA POKOK]*Table24[STOK]</f>
        <v>7500</v>
      </c>
      <c r="M45" s="64">
        <f>Table24[HRGA JUAL]*Table24[STOK]</f>
        <v>25000</v>
      </c>
    </row>
    <row r="46" spans="1:13" x14ac:dyDescent="0.25">
      <c r="A46" s="22">
        <v>42</v>
      </c>
      <c r="B46" s="19" t="s">
        <v>32</v>
      </c>
      <c r="C46" s="19" t="s">
        <v>23</v>
      </c>
      <c r="D46" s="21">
        <v>25250</v>
      </c>
      <c r="E46" s="21">
        <v>40000</v>
      </c>
      <c r="F46" s="18">
        <v>5</v>
      </c>
      <c r="H46" s="63">
        <f>Table24[STOK]-Table24[TERJUAL]</f>
        <v>5</v>
      </c>
      <c r="I46" s="21">
        <f>(Table24[HRGA JUAL]*Table24[TERJUAL])-(Table24[HARGA POKOK]*Table24[TERJUAL])</f>
        <v>0</v>
      </c>
      <c r="J46" s="21">
        <f>(Table24[HRGA JUAL]*Table24[TERJUAL])</f>
        <v>0</v>
      </c>
      <c r="K46" s="21">
        <f>Table24[HRGA JUAL]*Table24[SISA]</f>
        <v>200000</v>
      </c>
      <c r="L46" s="64">
        <f>Table24[HARGA POKOK]*Table24[STOK]</f>
        <v>126250</v>
      </c>
      <c r="M46" s="64">
        <f>Table24[HRGA JUAL]*Table24[STOK]</f>
        <v>200000</v>
      </c>
    </row>
    <row r="47" spans="1:13" x14ac:dyDescent="0.25">
      <c r="A47" s="18">
        <v>43</v>
      </c>
      <c r="B47" s="19" t="s">
        <v>32</v>
      </c>
      <c r="C47" s="19" t="s">
        <v>19</v>
      </c>
      <c r="D47" s="21">
        <v>1500</v>
      </c>
      <c r="E47" s="21">
        <v>5000</v>
      </c>
      <c r="F47" s="18"/>
      <c r="H47" s="63">
        <f>Table24[STOK]-Table24[TERJUAL]</f>
        <v>0</v>
      </c>
      <c r="I47" s="21">
        <f>(Table24[HRGA JUAL]*Table24[TERJUAL])-(Table24[HARGA POKOK]*Table24[TERJUAL])</f>
        <v>0</v>
      </c>
      <c r="J47" s="21">
        <f>(Table24[HRGA JUAL]*Table24[TERJUAL])</f>
        <v>0</v>
      </c>
      <c r="K47" s="21">
        <f>Table24[HRGA JUAL]*Table24[SISA]</f>
        <v>0</v>
      </c>
      <c r="L47" s="64">
        <f>Table24[HARGA POKOK]*Table24[STOK]</f>
        <v>0</v>
      </c>
      <c r="M47" s="64">
        <f>Table24[HRGA JUAL]*Table24[STOK]</f>
        <v>0</v>
      </c>
    </row>
    <row r="48" spans="1:13" x14ac:dyDescent="0.25">
      <c r="A48" s="22">
        <v>44</v>
      </c>
      <c r="B48" s="19" t="s">
        <v>32</v>
      </c>
      <c r="C48" s="19" t="s">
        <v>22</v>
      </c>
      <c r="D48" s="21">
        <v>27500</v>
      </c>
      <c r="E48" s="21">
        <v>40000</v>
      </c>
      <c r="F48" s="18">
        <v>5</v>
      </c>
      <c r="G48" s="18">
        <v>2</v>
      </c>
      <c r="H48" s="63">
        <f>Table24[STOK]-Table24[TERJUAL]</f>
        <v>3</v>
      </c>
      <c r="I48" s="21">
        <f>(Table24[HRGA JUAL]*Table24[TERJUAL])-(Table24[HARGA POKOK]*Table24[TERJUAL])</f>
        <v>25000</v>
      </c>
      <c r="J48" s="21">
        <f>(Table24[HRGA JUAL]*Table24[TERJUAL])</f>
        <v>80000</v>
      </c>
      <c r="K48" s="21">
        <f>Table24[HRGA JUAL]*Table24[SISA]</f>
        <v>120000</v>
      </c>
      <c r="L48" s="64">
        <f>Table24[HARGA POKOK]*Table24[STOK]</f>
        <v>137500</v>
      </c>
      <c r="M48" s="64">
        <f>Table24[HRGA JUAL]*Table24[STOK]</f>
        <v>200000</v>
      </c>
    </row>
    <row r="49" spans="1:13" x14ac:dyDescent="0.25">
      <c r="A49" s="18">
        <v>45</v>
      </c>
      <c r="B49" s="19" t="s">
        <v>32</v>
      </c>
      <c r="C49" s="19" t="s">
        <v>24</v>
      </c>
      <c r="D49" s="21">
        <v>17500</v>
      </c>
      <c r="E49" s="21">
        <v>40000</v>
      </c>
      <c r="F49" s="18">
        <v>30</v>
      </c>
      <c r="H49" s="63">
        <f>Table24[STOK]-Table24[TERJUAL]</f>
        <v>30</v>
      </c>
      <c r="I49" s="21">
        <f>(Table24[HRGA JUAL]*Table24[TERJUAL])-(Table24[HARGA POKOK]*Table24[TERJUAL])</f>
        <v>0</v>
      </c>
      <c r="J49" s="21">
        <f>(Table24[HRGA JUAL]*Table24[TERJUAL])</f>
        <v>0</v>
      </c>
      <c r="K49" s="21">
        <f>Table24[HRGA JUAL]*Table24[SISA]</f>
        <v>1200000</v>
      </c>
      <c r="L49" s="64">
        <f>Table24[HARGA POKOK]*Table24[STOK]</f>
        <v>525000</v>
      </c>
      <c r="M49" s="64">
        <f>Table24[HRGA JUAL]*Table24[STOK]</f>
        <v>1200000</v>
      </c>
    </row>
    <row r="50" spans="1:13" x14ac:dyDescent="0.25">
      <c r="A50" s="22">
        <v>46</v>
      </c>
      <c r="B50" s="90" t="s">
        <v>33</v>
      </c>
      <c r="C50" s="90" t="s">
        <v>37</v>
      </c>
      <c r="D50" s="24">
        <v>8700</v>
      </c>
      <c r="E50" s="24">
        <v>15000</v>
      </c>
      <c r="F50" s="22">
        <v>21</v>
      </c>
      <c r="G50" s="22">
        <v>8</v>
      </c>
      <c r="H50" s="65">
        <f>Table24[STOK]-Table24[TERJUAL]</f>
        <v>13</v>
      </c>
      <c r="I50" s="21">
        <f>(Table24[HRGA JUAL]*Table24[TERJUAL])-(Table24[HARGA POKOK]*Table24[TERJUAL])</f>
        <v>50400</v>
      </c>
      <c r="J50" s="24">
        <f>(Table24[HRGA JUAL]*Table24[TERJUAL])</f>
        <v>120000</v>
      </c>
      <c r="K50" s="24">
        <f>Table24[HRGA JUAL]*Table24[SISA]</f>
        <v>195000</v>
      </c>
      <c r="L50" s="64">
        <f>Table24[HARGA POKOK]*Table24[STOK]</f>
        <v>182700</v>
      </c>
      <c r="M50" s="64">
        <f>Table24[HRGA JUAL]*Table24[STOK]</f>
        <v>315000</v>
      </c>
    </row>
    <row r="51" spans="1:13" x14ac:dyDescent="0.25">
      <c r="A51" s="18">
        <v>47</v>
      </c>
      <c r="B51" s="90" t="s">
        <v>33</v>
      </c>
      <c r="C51" s="19" t="s">
        <v>25</v>
      </c>
      <c r="D51" s="21">
        <v>8800</v>
      </c>
      <c r="E51" s="21">
        <v>15000</v>
      </c>
      <c r="F51" s="18">
        <v>12</v>
      </c>
      <c r="G51" s="18">
        <v>2</v>
      </c>
      <c r="H51" s="63">
        <f>Table24[STOK]-Table24[TERJUAL]</f>
        <v>10</v>
      </c>
      <c r="I51" s="21">
        <f>(Table24[HRGA JUAL]*Table24[TERJUAL])-(Table24[HARGA POKOK]*Table24[TERJUAL])</f>
        <v>12400</v>
      </c>
      <c r="J51" s="21">
        <f>(Table24[HRGA JUAL]*Table24[TERJUAL])</f>
        <v>30000</v>
      </c>
      <c r="K51" s="21">
        <f>Table24[HRGA JUAL]*Table24[SISA]</f>
        <v>150000</v>
      </c>
      <c r="L51" s="64">
        <f>Table24[HARGA POKOK]*Table24[STOK]</f>
        <v>105600</v>
      </c>
      <c r="M51" s="64">
        <f>Table24[HRGA JUAL]*Table24[STOK]</f>
        <v>180000</v>
      </c>
    </row>
    <row r="52" spans="1:13" x14ac:dyDescent="0.25">
      <c r="A52" s="22">
        <v>48</v>
      </c>
      <c r="B52" s="90" t="s">
        <v>33</v>
      </c>
      <c r="C52" s="19" t="s">
        <v>26</v>
      </c>
      <c r="D52" s="21">
        <v>315000</v>
      </c>
      <c r="E52" s="21">
        <v>475000</v>
      </c>
      <c r="F52" s="18">
        <v>189</v>
      </c>
      <c r="G52" s="18">
        <v>21</v>
      </c>
      <c r="H52" s="63">
        <f>Table24[STOK]-Table24[TERJUAL]</f>
        <v>168</v>
      </c>
      <c r="I52" s="21">
        <f>(Table24[HRGA JUAL]*Table24[TERJUAL])-(Table24[HARGA POKOK]*Table24[TERJUAL])</f>
        <v>3360000</v>
      </c>
      <c r="J52" s="21">
        <f>(Table24[HRGA JUAL]*Table24[TERJUAL])</f>
        <v>9975000</v>
      </c>
      <c r="K52" s="21">
        <f>Table24[HRGA JUAL]*Table24[SISA]</f>
        <v>79800000</v>
      </c>
      <c r="L52" s="64">
        <f>Table24[HARGA POKOK]*Table24[STOK]</f>
        <v>59535000</v>
      </c>
      <c r="M52" s="64">
        <f>Table24[HRGA JUAL]*Table24[STOK]</f>
        <v>89775000</v>
      </c>
    </row>
    <row r="53" spans="1:13" x14ac:dyDescent="0.25">
      <c r="A53" s="18">
        <v>49</v>
      </c>
      <c r="B53" s="90" t="s">
        <v>34</v>
      </c>
      <c r="C53" s="90" t="s">
        <v>78</v>
      </c>
      <c r="D53" s="24">
        <v>335000</v>
      </c>
      <c r="E53" s="24">
        <v>490000</v>
      </c>
      <c r="F53" s="22">
        <v>3</v>
      </c>
      <c r="G53" s="22">
        <v>3</v>
      </c>
      <c r="H53" s="65">
        <f>Table24[STOK]-Table24[TERJUAL]</f>
        <v>0</v>
      </c>
      <c r="I53" s="21">
        <f>(Table24[HRGA JUAL]*Table24[TERJUAL])-(Table24[HARGA POKOK]*Table24[TERJUAL])</f>
        <v>465000</v>
      </c>
      <c r="J53" s="24">
        <f>(Table24[HRGA JUAL]*Table24[TERJUAL])</f>
        <v>1470000</v>
      </c>
      <c r="K53" s="24">
        <f>Table24[HRGA JUAL]*Table24[SISA]</f>
        <v>0</v>
      </c>
      <c r="L53" s="64">
        <f>Table24[HARGA POKOK]*Table24[STOK]</f>
        <v>1005000</v>
      </c>
      <c r="M53" s="64">
        <f>Table24[HRGA JUAL]*Table24[STOK]</f>
        <v>1470000</v>
      </c>
    </row>
    <row r="54" spans="1:13" x14ac:dyDescent="0.25">
      <c r="A54" s="29">
        <v>50</v>
      </c>
      <c r="B54" s="30" t="s">
        <v>40</v>
      </c>
      <c r="C54" s="30" t="s">
        <v>79</v>
      </c>
      <c r="D54" s="31">
        <v>25000</v>
      </c>
      <c r="E54" s="31">
        <v>40000</v>
      </c>
      <c r="F54" s="29"/>
      <c r="G54" s="29">
        <v>2</v>
      </c>
      <c r="H54" s="66">
        <f>Table24[STOK]-Table24[TERJUAL]</f>
        <v>-2</v>
      </c>
      <c r="I54" s="67">
        <f>(Table24[HRGA JUAL]*Table24[TERJUAL])-(Table24[HARGA POKOK]*Table24[TERJUAL])</f>
        <v>30000</v>
      </c>
      <c r="J54" s="31">
        <f>(Table24[HRGA JUAL]*Table24[TERJUAL])</f>
        <v>80000</v>
      </c>
      <c r="K54" s="31"/>
      <c r="L54" s="68"/>
      <c r="M54" s="68"/>
    </row>
    <row r="55" spans="1:13" x14ac:dyDescent="0.25">
      <c r="A55" s="37">
        <v>51</v>
      </c>
      <c r="B55" s="30" t="s">
        <v>71</v>
      </c>
      <c r="C55" s="30" t="s">
        <v>70</v>
      </c>
      <c r="D55" s="31">
        <v>1000</v>
      </c>
      <c r="E55" s="31">
        <v>1700</v>
      </c>
      <c r="F55" s="29"/>
      <c r="G55" s="29">
        <v>15</v>
      </c>
      <c r="H55" s="66">
        <f>Table24[STOK]-Table24[TERJUAL]</f>
        <v>-15</v>
      </c>
      <c r="I55" s="67">
        <f>(Table24[HRGA JUAL]*Table24[TERJUAL])-(Table24[HARGA POKOK]*Table24[TERJUAL])</f>
        <v>10500</v>
      </c>
      <c r="J55" s="31">
        <f>(Table24[HRGA JUAL]*Table24[TERJUAL])</f>
        <v>25500</v>
      </c>
      <c r="K55" s="31"/>
      <c r="L55" s="68"/>
      <c r="M55" s="68"/>
    </row>
    <row r="56" spans="1:13" x14ac:dyDescent="0.25">
      <c r="A56" s="29">
        <v>52</v>
      </c>
      <c r="B56" s="30" t="s">
        <v>68</v>
      </c>
      <c r="C56" s="30" t="s">
        <v>69</v>
      </c>
      <c r="D56" s="38">
        <v>6300</v>
      </c>
      <c r="E56" s="31">
        <v>10000</v>
      </c>
      <c r="F56" s="29"/>
      <c r="G56" s="29">
        <v>781.5</v>
      </c>
      <c r="H56" s="66">
        <f>Table24[STOK]-Table24[TERJUAL]</f>
        <v>-781.5</v>
      </c>
      <c r="I56" s="67">
        <f>(Table24[HRGA JUAL]*Table24[TERJUAL])-(Table24[HARGA POKOK]*Table24[TERJUAL])</f>
        <v>2891550</v>
      </c>
      <c r="J56" s="31">
        <f>(Table24[HRGA JUAL]*Table24[TERJUAL])</f>
        <v>7815000</v>
      </c>
      <c r="K56" s="31"/>
      <c r="L56" s="68"/>
      <c r="M56" s="68"/>
    </row>
    <row r="57" spans="1:13" x14ac:dyDescent="0.25">
      <c r="A57" s="37">
        <v>53</v>
      </c>
      <c r="B57" s="30" t="s">
        <v>74</v>
      </c>
      <c r="C57" s="30" t="s">
        <v>80</v>
      </c>
      <c r="D57" s="38">
        <v>6700</v>
      </c>
      <c r="E57" s="31">
        <v>11000</v>
      </c>
      <c r="F57" s="29">
        <v>0</v>
      </c>
      <c r="G57" s="29">
        <v>50</v>
      </c>
      <c r="H57" s="66">
        <f>Table24[STOK]-Table24[TERJUAL]</f>
        <v>-50</v>
      </c>
      <c r="I57" s="67">
        <f>(Table24[HRGA JUAL]*Table24[TERJUAL])-(Table24[HARGA POKOK]*Table24[TERJUAL])</f>
        <v>215000</v>
      </c>
      <c r="J57" s="31">
        <f>(Table24[HRGA JUAL]*Table24[TERJUAL])</f>
        <v>550000</v>
      </c>
      <c r="K57" s="31"/>
      <c r="L57" s="68"/>
      <c r="M57" s="68"/>
    </row>
    <row r="58" spans="1:13" ht="32.25" customHeight="1" x14ac:dyDescent="0.25">
      <c r="A58" s="364" t="s">
        <v>8</v>
      </c>
      <c r="B58" s="365"/>
      <c r="C58" s="365"/>
      <c r="D58" s="365"/>
      <c r="E58" s="365"/>
      <c r="F58" s="365"/>
      <c r="G58" s="365"/>
      <c r="H58" s="366"/>
      <c r="I58" s="71">
        <f>SUM(I5:I57)</f>
        <v>9252850</v>
      </c>
      <c r="J58" s="72">
        <f>SUM(J5:J57)</f>
        <v>29809500</v>
      </c>
      <c r="K58" s="71">
        <f>SUBTOTAL(109,Table24[NILAI BLM TERJUAL])</f>
        <v>225389000</v>
      </c>
      <c r="L58" s="73">
        <f>SUM(L5:L57)</f>
        <v>176419050</v>
      </c>
      <c r="M58" s="73">
        <f>SUM(M5:M53)</f>
        <v>246808000</v>
      </c>
    </row>
    <row r="60" spans="1:13" x14ac:dyDescent="0.25">
      <c r="E60" s="361" t="s">
        <v>91</v>
      </c>
      <c r="F60" s="361"/>
      <c r="G60" s="361"/>
      <c r="H60" s="361"/>
      <c r="I60" s="361"/>
      <c r="J60" s="361"/>
      <c r="K60" s="92"/>
    </row>
    <row r="61" spans="1:13" x14ac:dyDescent="0.25">
      <c r="E61" s="367" t="s">
        <v>85</v>
      </c>
      <c r="F61" s="367"/>
      <c r="G61" s="367"/>
      <c r="H61" s="374">
        <v>60000</v>
      </c>
      <c r="I61" s="374"/>
      <c r="J61" s="367" t="s">
        <v>76</v>
      </c>
      <c r="K61" s="367"/>
      <c r="L61" s="367"/>
      <c r="M61" s="74"/>
    </row>
    <row r="62" spans="1:13" x14ac:dyDescent="0.25">
      <c r="E62" s="375" t="s">
        <v>86</v>
      </c>
      <c r="F62" s="375"/>
      <c r="G62" s="375"/>
      <c r="H62" s="374">
        <v>30000</v>
      </c>
      <c r="I62" s="374"/>
      <c r="J62" s="77" t="s">
        <v>88</v>
      </c>
      <c r="K62" s="77"/>
      <c r="L62" s="77"/>
      <c r="M62" s="77"/>
    </row>
    <row r="63" spans="1:13" x14ac:dyDescent="0.25">
      <c r="E63" s="375"/>
      <c r="F63" s="375"/>
      <c r="G63" s="375"/>
      <c r="H63" s="374">
        <v>150000</v>
      </c>
      <c r="I63" s="374"/>
      <c r="J63" s="367" t="s">
        <v>89</v>
      </c>
      <c r="K63" s="367"/>
      <c r="L63" s="367"/>
      <c r="M63" s="74"/>
    </row>
    <row r="64" spans="1:13" x14ac:dyDescent="0.25">
      <c r="E64" s="367" t="s">
        <v>87</v>
      </c>
      <c r="F64" s="367"/>
      <c r="G64" s="367"/>
      <c r="H64" s="374">
        <v>45000</v>
      </c>
      <c r="I64" s="374"/>
      <c r="J64" s="367" t="s">
        <v>90</v>
      </c>
      <c r="K64" s="367"/>
      <c r="L64" s="367"/>
    </row>
    <row r="65" spans="1:13" x14ac:dyDescent="0.25">
      <c r="E65" s="368" t="s">
        <v>8</v>
      </c>
      <c r="F65" s="368"/>
      <c r="G65" s="368"/>
      <c r="H65" s="371">
        <f>SUM(H61:H64)</f>
        <v>285000</v>
      </c>
      <c r="I65" s="371"/>
      <c r="J65" s="80"/>
      <c r="K65" s="74"/>
      <c r="L65" s="22"/>
    </row>
    <row r="66" spans="1:13" x14ac:dyDescent="0.25">
      <c r="E66" s="80"/>
      <c r="F66" s="370"/>
      <c r="G66" s="370"/>
      <c r="H66" s="370"/>
      <c r="I66" s="370"/>
      <c r="J66" s="370"/>
      <c r="K66" s="22"/>
      <c r="L66" s="22"/>
    </row>
    <row r="67" spans="1:13" x14ac:dyDescent="0.25">
      <c r="E67" s="80" t="s">
        <v>82</v>
      </c>
      <c r="F67" s="81"/>
      <c r="G67" s="372">
        <f>SUBTOTAL(109,Table24[NILAI LAKU TERJUAL])</f>
        <v>29809500</v>
      </c>
      <c r="H67" s="372"/>
      <c r="I67" s="372"/>
      <c r="J67" s="80"/>
      <c r="K67" s="74"/>
      <c r="L67" s="22"/>
    </row>
    <row r="68" spans="1:13" x14ac:dyDescent="0.25">
      <c r="E68" s="80" t="s">
        <v>83</v>
      </c>
      <c r="F68" s="82" t="s">
        <v>84</v>
      </c>
      <c r="G68" s="373">
        <v>285000</v>
      </c>
      <c r="H68" s="373"/>
      <c r="I68" s="373"/>
      <c r="J68" s="80"/>
      <c r="K68" s="74"/>
      <c r="L68" s="22"/>
    </row>
    <row r="69" spans="1:13" x14ac:dyDescent="0.25">
      <c r="E69" s="80" t="s">
        <v>8</v>
      </c>
      <c r="F69" s="80"/>
      <c r="G69" s="369">
        <f>(G67-G68)</f>
        <v>29524500</v>
      </c>
      <c r="H69" s="369"/>
      <c r="I69" s="369"/>
      <c r="J69" s="80"/>
      <c r="K69" s="74"/>
      <c r="L69" s="22"/>
    </row>
    <row r="70" spans="1:13" x14ac:dyDescent="0.25">
      <c r="E70" s="91"/>
      <c r="F70" s="91"/>
      <c r="G70" s="80"/>
      <c r="H70" s="80"/>
      <c r="I70" s="80"/>
      <c r="J70" s="80"/>
      <c r="K70" s="74"/>
      <c r="L70" s="74"/>
      <c r="M70" s="58"/>
    </row>
    <row r="71" spans="1:13" x14ac:dyDescent="0.25">
      <c r="E71" s="22"/>
      <c r="F71" s="22"/>
      <c r="G71" s="74"/>
      <c r="H71" s="74"/>
      <c r="I71" s="74"/>
      <c r="J71" s="74"/>
      <c r="K71" s="74"/>
      <c r="L71" s="74"/>
      <c r="M71" s="58"/>
    </row>
    <row r="72" spans="1:13" ht="18.75" x14ac:dyDescent="0.3">
      <c r="A72" s="360" t="s">
        <v>99</v>
      </c>
      <c r="B72" s="360"/>
      <c r="C72" s="360"/>
      <c r="D72" s="360"/>
    </row>
    <row r="73" spans="1:13" ht="18.75" x14ac:dyDescent="0.3">
      <c r="A73" s="360" t="s">
        <v>110</v>
      </c>
      <c r="B73" s="360"/>
      <c r="C73" s="360"/>
      <c r="D73" s="360"/>
    </row>
    <row r="74" spans="1:13" ht="18.75" x14ac:dyDescent="0.3">
      <c r="A74" s="360" t="s">
        <v>75</v>
      </c>
      <c r="B74" s="360"/>
      <c r="C74" s="360"/>
      <c r="D74" s="360"/>
    </row>
    <row r="75" spans="1:13" x14ac:dyDescent="0.25">
      <c r="A75"/>
      <c r="B75"/>
      <c r="C75"/>
      <c r="D75"/>
    </row>
    <row r="76" spans="1:13" ht="15.75" x14ac:dyDescent="0.25">
      <c r="A76" s="356" t="s">
        <v>111</v>
      </c>
      <c r="B76" s="357"/>
      <c r="C76" s="356" t="s">
        <v>77</v>
      </c>
      <c r="D76" s="357"/>
    </row>
    <row r="77" spans="1:13" ht="15.75" x14ac:dyDescent="0.25">
      <c r="A77" s="242" t="s">
        <v>103</v>
      </c>
      <c r="B77" s="243"/>
      <c r="C77" s="48"/>
      <c r="D77" s="48"/>
    </row>
    <row r="78" spans="1:13" ht="15.75" x14ac:dyDescent="0.25">
      <c r="A78" s="354" t="s">
        <v>102</v>
      </c>
      <c r="B78" s="355"/>
      <c r="C78" s="46">
        <v>29524500</v>
      </c>
      <c r="D78" s="46"/>
    </row>
    <row r="79" spans="1:13" ht="15.75" x14ac:dyDescent="0.25">
      <c r="A79" s="356" t="s">
        <v>104</v>
      </c>
      <c r="B79" s="357"/>
      <c r="C79" s="46"/>
      <c r="D79" s="47">
        <v>29524500</v>
      </c>
    </row>
    <row r="80" spans="1:13" ht="15.75" x14ac:dyDescent="0.25">
      <c r="A80" s="350" t="s">
        <v>106</v>
      </c>
      <c r="B80" s="351"/>
      <c r="C80" s="46"/>
      <c r="D80" s="46">
        <v>20064150</v>
      </c>
    </row>
    <row r="81" spans="1:4" s="58" customFormat="1" ht="15.75" x14ac:dyDescent="0.25">
      <c r="A81" s="358" t="s">
        <v>114</v>
      </c>
      <c r="B81" s="359"/>
      <c r="C81" s="49"/>
      <c r="D81" s="50">
        <v>9252850</v>
      </c>
    </row>
    <row r="82" spans="1:4" s="58" customFormat="1" ht="15.75" x14ac:dyDescent="0.25">
      <c r="A82" s="346" t="s">
        <v>105</v>
      </c>
      <c r="B82" s="347"/>
      <c r="C82" s="46"/>
      <c r="D82" s="54"/>
    </row>
    <row r="83" spans="1:4" s="58" customFormat="1" ht="15.75" x14ac:dyDescent="0.25">
      <c r="A83" s="348" t="s">
        <v>97</v>
      </c>
      <c r="B83" s="349"/>
      <c r="C83" s="46">
        <v>2000000</v>
      </c>
      <c r="D83" s="46"/>
    </row>
    <row r="84" spans="1:4" s="58" customFormat="1" ht="15.75" x14ac:dyDescent="0.25">
      <c r="A84" s="350" t="s">
        <v>98</v>
      </c>
      <c r="B84" s="351"/>
      <c r="C84" s="46">
        <v>416000</v>
      </c>
      <c r="D84" s="46"/>
    </row>
    <row r="85" spans="1:4" s="58" customFormat="1" ht="15.75" x14ac:dyDescent="0.25">
      <c r="A85" s="350" t="s">
        <v>112</v>
      </c>
      <c r="B85" s="351"/>
      <c r="C85" s="46">
        <v>2050000</v>
      </c>
      <c r="D85" s="46"/>
    </row>
    <row r="86" spans="1:4" s="58" customFormat="1" ht="15.75" x14ac:dyDescent="0.25">
      <c r="A86" s="344" t="s">
        <v>113</v>
      </c>
      <c r="B86" s="345"/>
      <c r="C86" s="46">
        <v>151000</v>
      </c>
      <c r="D86" s="46"/>
    </row>
    <row r="87" spans="1:4" s="58" customFormat="1" ht="15.75" x14ac:dyDescent="0.25">
      <c r="A87" s="352" t="s">
        <v>107</v>
      </c>
      <c r="B87" s="353"/>
      <c r="C87" s="51" t="s">
        <v>117</v>
      </c>
      <c r="D87" s="47">
        <f>SUM(C83:C86)</f>
        <v>4617000</v>
      </c>
    </row>
    <row r="88" spans="1:4" s="58" customFormat="1" ht="15.75" x14ac:dyDescent="0.25">
      <c r="A88" s="344" t="s">
        <v>108</v>
      </c>
      <c r="B88" s="345"/>
      <c r="C88" s="51"/>
      <c r="D88" s="51"/>
    </row>
    <row r="89" spans="1:4" s="58" customFormat="1" ht="15.75" x14ac:dyDescent="0.25">
      <c r="A89" s="346" t="s">
        <v>109</v>
      </c>
      <c r="B89" s="347"/>
      <c r="C89" s="48"/>
      <c r="D89" s="50">
        <f>SUM(D81-D87)</f>
        <v>4635850</v>
      </c>
    </row>
    <row r="90" spans="1:4" s="58" customFormat="1" x14ac:dyDescent="0.25">
      <c r="A90"/>
      <c r="B90"/>
      <c r="C90"/>
      <c r="D90"/>
    </row>
  </sheetData>
  <mergeCells count="37">
    <mergeCell ref="E65:G65"/>
    <mergeCell ref="J61:L61"/>
    <mergeCell ref="J63:L63"/>
    <mergeCell ref="G69:I69"/>
    <mergeCell ref="F66:J66"/>
    <mergeCell ref="H65:I65"/>
    <mergeCell ref="G67:I67"/>
    <mergeCell ref="G68:I68"/>
    <mergeCell ref="H64:I64"/>
    <mergeCell ref="H61:I61"/>
    <mergeCell ref="H62:I62"/>
    <mergeCell ref="H63:I63"/>
    <mergeCell ref="E61:G61"/>
    <mergeCell ref="E62:G63"/>
    <mergeCell ref="E64:G64"/>
    <mergeCell ref="E60:J60"/>
    <mergeCell ref="A1:N1"/>
    <mergeCell ref="A2:N2"/>
    <mergeCell ref="A58:H58"/>
    <mergeCell ref="J64:L64"/>
    <mergeCell ref="A72:D72"/>
    <mergeCell ref="A73:D73"/>
    <mergeCell ref="A74:D74"/>
    <mergeCell ref="A76:B76"/>
    <mergeCell ref="C76:D76"/>
    <mergeCell ref="A78:B78"/>
    <mergeCell ref="A79:B79"/>
    <mergeCell ref="A80:B80"/>
    <mergeCell ref="A81:B81"/>
    <mergeCell ref="A82:B82"/>
    <mergeCell ref="A88:B88"/>
    <mergeCell ref="A89:B89"/>
    <mergeCell ref="A83:B83"/>
    <mergeCell ref="A84:B84"/>
    <mergeCell ref="A85:B85"/>
    <mergeCell ref="A86:B86"/>
    <mergeCell ref="A87:B87"/>
  </mergeCells>
  <pageMargins left="0.7" right="0.7" top="0.75" bottom="0.75" header="0.3" footer="0.3"/>
  <pageSetup paperSize="256" scale="58" fitToHeight="0" orientation="landscape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3"/>
  <sheetViews>
    <sheetView topLeftCell="A83" workbookViewId="0">
      <selection activeCell="A97" sqref="A97:D97"/>
    </sheetView>
  </sheetViews>
  <sheetFormatPr defaultRowHeight="15" x14ac:dyDescent="0.25"/>
  <cols>
    <col min="1" max="1" width="6.140625" customWidth="1"/>
    <col min="2" max="2" width="23.42578125" customWidth="1"/>
    <col min="3" max="3" width="28" customWidth="1"/>
    <col min="4" max="4" width="18.5703125" customWidth="1"/>
    <col min="5" max="5" width="15.42578125" customWidth="1"/>
    <col min="6" max="6" width="10.85546875" customWidth="1"/>
    <col min="7" max="7" width="13.7109375" customWidth="1"/>
    <col min="8" max="8" width="8.8554687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  <col min="14" max="14" width="10.4257812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250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131" t="s">
        <v>0</v>
      </c>
      <c r="B4" s="132" t="s">
        <v>1</v>
      </c>
      <c r="C4" s="133" t="s">
        <v>2</v>
      </c>
      <c r="D4" s="132" t="s">
        <v>119</v>
      </c>
      <c r="E4" s="132" t="s">
        <v>3</v>
      </c>
      <c r="F4" s="134" t="s">
        <v>4</v>
      </c>
      <c r="G4" s="134" t="s">
        <v>5</v>
      </c>
      <c r="H4" s="135" t="s">
        <v>6</v>
      </c>
      <c r="I4" s="136" t="s">
        <v>7</v>
      </c>
      <c r="J4" s="136" t="s">
        <v>115</v>
      </c>
      <c r="K4" s="136" t="s">
        <v>92</v>
      </c>
      <c r="L4" s="134" t="s">
        <v>116</v>
      </c>
      <c r="M4" s="134" t="s">
        <v>81</v>
      </c>
      <c r="N4" s="134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141">
        <v>71</v>
      </c>
      <c r="G5" s="142">
        <v>71</v>
      </c>
      <c r="H5" s="141">
        <f>(Table24232567891011[STOK])-(Table24232567891011[TERJUAL])</f>
        <v>0</v>
      </c>
      <c r="I5" s="143">
        <f>(Table24232567891011[HARGA JUAL]*Table24232567891011[TERJUAL])-(Table24232567891011[HARGA POKOK]*Table24232567891011[TERJUAL])</f>
        <v>1562000</v>
      </c>
      <c r="J5" s="143">
        <f>(Table24232567891011[HARGA JUAL]*Table24232567891011[TERJUAL])</f>
        <v>6887000</v>
      </c>
      <c r="K5" s="143">
        <f>Table24232567891011[HARGA JUAL]*Table24232567891011[SISA]</f>
        <v>0</v>
      </c>
      <c r="L5" s="144">
        <f>Table24232567891011[HARGA POKOK]*Table24232567891011[STOK]</f>
        <v>5325000</v>
      </c>
      <c r="M5" s="144">
        <f>Table24232567891011[HARGA JUAL]*Table24232567891011[STOK]</f>
        <v>6887000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141">
        <v>114</v>
      </c>
      <c r="G6" s="142">
        <v>25</v>
      </c>
      <c r="H6" s="141">
        <f>(Table24232567891011[STOK])-(Table24232567891011[TERJUAL])</f>
        <v>89</v>
      </c>
      <c r="I6" s="143">
        <f>(Table24232567891011[HARGA JUAL]*Table24232567891011[TERJUAL])-(Table24232567891011[HARGA POKOK]*Table24232567891011[TERJUAL])</f>
        <v>500000</v>
      </c>
      <c r="J6" s="143">
        <f>(Table24232567891011[HARGA JUAL]*Table24232567891011[TERJUAL])</f>
        <v>2000000</v>
      </c>
      <c r="K6" s="143">
        <f>Table24232567891011[HARGA JUAL]*Table24232567891011[SISA]</f>
        <v>7120000</v>
      </c>
      <c r="L6" s="144">
        <f>Table24232567891011[HARGA POKOK]*Table24232567891011[STOK]</f>
        <v>6840000</v>
      </c>
      <c r="M6" s="144">
        <f>Table24232567891011[HARGA JUAL]*Table24232567891011[STOK]</f>
        <v>9120000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52500</v>
      </c>
      <c r="E7" s="140">
        <v>70000</v>
      </c>
      <c r="F7" s="141">
        <v>26</v>
      </c>
      <c r="G7" s="142">
        <v>8</v>
      </c>
      <c r="H7" s="141">
        <f>(Table24232567891011[STOK])-(Table24232567891011[TERJUAL])</f>
        <v>18</v>
      </c>
      <c r="I7" s="143">
        <f>(Table24232567891011[HARGA JUAL]*Table24232567891011[TERJUAL])-(Table24232567891011[HARGA POKOK]*Table24232567891011[TERJUAL])</f>
        <v>140000</v>
      </c>
      <c r="J7" s="143">
        <f>(Table24232567891011[HARGA JUAL]*Table24232567891011[TERJUAL])</f>
        <v>560000</v>
      </c>
      <c r="K7" s="143">
        <f>Table24232567891011[HARGA JUAL]*Table24232567891011[SISA]</f>
        <v>1260000</v>
      </c>
      <c r="L7" s="144">
        <f>Table24232567891011[HARGA POKOK]*Table24232567891011[STOK]</f>
        <v>1365000</v>
      </c>
      <c r="M7" s="144">
        <f>Table24232567891011[HARGA JUAL]*Table24232567891011[STOK]</f>
        <v>1820000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49</v>
      </c>
      <c r="G8" s="142">
        <v>26</v>
      </c>
      <c r="H8" s="141">
        <f>(Table24232567891011[STOK])-(Table24232567891011[TERJUAL])</f>
        <v>23</v>
      </c>
      <c r="I8" s="143">
        <f>(Table24232567891011[HARGA JUAL]*Table24232567891011[TERJUAL])-(Table24232567891011[HARGA POKOK]*Table24232567891011[TERJUAL])</f>
        <v>429000</v>
      </c>
      <c r="J8" s="143">
        <f>(Table24232567891011[HARGA JUAL]*Table24232567891011[TERJUAL])</f>
        <v>2132000</v>
      </c>
      <c r="K8" s="143">
        <f>Table24232567891011[HARGA JUAL]*Table24232567891011[SISA]</f>
        <v>1886000</v>
      </c>
      <c r="L8" s="144">
        <f>Table24232567891011[HARGA POKOK]*Table24232567891011[STOK]</f>
        <v>3209500</v>
      </c>
      <c r="M8" s="144">
        <f>Table24232567891011[HARGA JUAL]*Table24232567891011[STOK]</f>
        <v>4018000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158</v>
      </c>
      <c r="G9" s="142">
        <v>7</v>
      </c>
      <c r="H9" s="141">
        <f>(Table24232567891011[STOK])-(Table24232567891011[TERJUAL])</f>
        <v>151</v>
      </c>
      <c r="I9" s="143">
        <f>(Table24232567891011[HARGA JUAL]*Table24232567891011[TERJUAL])-(Table24232567891011[HARGA POKOK]*Table24232567891011[TERJUAL])</f>
        <v>150500</v>
      </c>
      <c r="J9" s="143">
        <f>(Table24232567891011[HARGA JUAL]*Table24232567891011[TERJUAL])</f>
        <v>560000</v>
      </c>
      <c r="K9" s="143">
        <f>Table24232567891011[HARGA JUAL]*Table24232567891011[SISA]</f>
        <v>12080000</v>
      </c>
      <c r="L9" s="144">
        <f>Table24232567891011[HARGA POKOK]*Table24232567891011[STOK]</f>
        <v>9243000</v>
      </c>
      <c r="M9" s="144">
        <f>Table24232567891011[HARGA JUAL]*Table24232567891011[STOK]</f>
        <v>12640000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30</v>
      </c>
      <c r="G10" s="142"/>
      <c r="H10" s="141">
        <f>(Table24232567891011[STOK])-(Table24232567891011[TERJUAL])</f>
        <v>30</v>
      </c>
      <c r="I10" s="143">
        <f>(Table24232567891011[HARGA JUAL]*Table24232567891011[TERJUAL])-(Table24232567891011[HARGA POKOK]*Table24232567891011[TERJUAL])</f>
        <v>0</v>
      </c>
      <c r="J10" s="143">
        <f>(Table24232567891011[HARGA JUAL]*Table24232567891011[TERJUAL])</f>
        <v>0</v>
      </c>
      <c r="K10" s="143">
        <f>Table24232567891011[HARGA JUAL]*Table24232567891011[SISA]</f>
        <v>3300000</v>
      </c>
      <c r="L10" s="144">
        <f>Table24232567891011[HARGA POKOK]*Table24232567891011[STOK]</f>
        <v>2505000</v>
      </c>
      <c r="M10" s="144">
        <f>Table24232567891011[HARGA JUAL]*Table24232567891011[STOK]</f>
        <v>3300000</v>
      </c>
      <c r="N10" s="145"/>
    </row>
    <row r="11" spans="1:14" x14ac:dyDescent="0.25">
      <c r="A11" s="137">
        <v>7</v>
      </c>
      <c r="B11" s="138" t="s">
        <v>28</v>
      </c>
      <c r="C11" s="138" t="s">
        <v>38</v>
      </c>
      <c r="D11" s="140">
        <v>88500</v>
      </c>
      <c r="E11" s="140">
        <v>115000</v>
      </c>
      <c r="F11" s="141">
        <v>12</v>
      </c>
      <c r="G11" s="142"/>
      <c r="H11" s="141">
        <f>(Table24232567891011[STOK])-(Table24232567891011[TERJUAL])</f>
        <v>12</v>
      </c>
      <c r="I11" s="143">
        <f>(Table24232567891011[HARGA JUAL]*Table24232567891011[TERJUAL])-(Table24232567891011[HARGA POKOK]*Table24232567891011[TERJUAL])</f>
        <v>0</v>
      </c>
      <c r="J11" s="143">
        <f>(Table24232567891011[HARGA JUAL]*Table24232567891011[TERJUAL])</f>
        <v>0</v>
      </c>
      <c r="K11" s="143">
        <f>Table24232567891011[HARGA JUAL]*Table24232567891011[SISA]</f>
        <v>1380000</v>
      </c>
      <c r="L11" s="144">
        <f>Table24232567891011[HARGA POKOK]*Table24232567891011[STOK]</f>
        <v>1062000</v>
      </c>
      <c r="M11" s="144">
        <f>Table24232567891011[HARGA JUAL]*Table24232567891011[STOK]</f>
        <v>1380000</v>
      </c>
      <c r="N11" s="145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87</v>
      </c>
      <c r="G12" s="142">
        <v>5</v>
      </c>
      <c r="H12" s="141">
        <f>(Table24232567891011[STOK])-(Table24232567891011[TERJUAL])</f>
        <v>82</v>
      </c>
      <c r="I12" s="143">
        <f>(Table24232567891011[HARGA JUAL]*Table24232567891011[TERJUAL])-(Table24232567891011[HARGA POKOK]*Table24232567891011[TERJUAL])</f>
        <v>30000</v>
      </c>
      <c r="J12" s="143">
        <f>(Table24232567891011[HARGA JUAL]*Table24232567891011[TERJUAL])</f>
        <v>450000</v>
      </c>
      <c r="K12" s="143">
        <f>Table24232567891011[HARGA JUAL]*Table24232567891011[SISA]</f>
        <v>7380000</v>
      </c>
      <c r="L12" s="144">
        <f>Table24232567891011[HARGA POKOK]*Table24232567891011[STOK]</f>
        <v>7308000</v>
      </c>
      <c r="M12" s="144">
        <f>Table24232567891011[HARGA JUAL]*Table24232567891011[STOK]</f>
        <v>7830000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24</v>
      </c>
      <c r="G13" s="142">
        <v>4</v>
      </c>
      <c r="H13" s="141">
        <f>(Table24232567891011[STOK])-(Table24232567891011[TERJUAL])</f>
        <v>20</v>
      </c>
      <c r="I13" s="143">
        <f>(Table24232567891011[HARGA JUAL]*Table24232567891011[TERJUAL])-(Table24232567891011[HARGA POKOK]*Table24232567891011[TERJUAL])</f>
        <v>86000</v>
      </c>
      <c r="J13" s="143">
        <f>(Table24232567891011[HARGA JUAL]*Table24232567891011[TERJUAL])</f>
        <v>720000</v>
      </c>
      <c r="K13" s="143">
        <f>Table24232567891011[HARGA JUAL]*Table24232567891011[SISA]</f>
        <v>3600000</v>
      </c>
      <c r="L13" s="144">
        <f>Table24232567891011[HARGA POKOK]*Table24232567891011[STOK]</f>
        <v>3804000</v>
      </c>
      <c r="M13" s="144">
        <f>Table24232567891011[HARGA JUAL]*Table24232567891011[STOK]</f>
        <v>4320000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165000</v>
      </c>
      <c r="F14" s="141">
        <v>45</v>
      </c>
      <c r="G14" s="142">
        <v>5</v>
      </c>
      <c r="H14" s="141">
        <f>(Table24232567891011[STOK])-(Table24232567891011[TERJUAL])</f>
        <v>40</v>
      </c>
      <c r="I14" s="143">
        <f>(Table24232567891011[HARGA JUAL]*Table24232567891011[TERJUAL])-(Table24232567891011[HARGA POKOK]*Table24232567891011[TERJUAL])</f>
        <v>160000</v>
      </c>
      <c r="J14" s="143">
        <f>(Table24232567891011[HARGA JUAL]*Table24232567891011[TERJUAL])</f>
        <v>825000</v>
      </c>
      <c r="K14" s="143">
        <f>Table24232567891011[HARGA JUAL]*Table24232567891011[SISA]</f>
        <v>6600000</v>
      </c>
      <c r="L14" s="144">
        <f>Table24232567891011[HARGA POKOK]*Table24232567891011[STOK]</f>
        <v>5985000</v>
      </c>
      <c r="M14" s="144">
        <f>Table24232567891011[HARGA JUAL]*Table24232567891011[STOK]</f>
        <v>7425000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31</v>
      </c>
      <c r="G15" s="142">
        <v>23</v>
      </c>
      <c r="H15" s="141">
        <f>(Table24232567891011[STOK])-(Table24232567891011[TERJUAL])</f>
        <v>8</v>
      </c>
      <c r="I15" s="143">
        <f>(Table24232567891011[HARGA JUAL]*Table24232567891011[TERJUAL])-(Table24232567891011[HARGA POKOK]*Table24232567891011[TERJUAL])</f>
        <v>241500</v>
      </c>
      <c r="J15" s="143">
        <f>(Table24232567891011[HARGA JUAL]*Table24232567891011[TERJUAL])</f>
        <v>920000</v>
      </c>
      <c r="K15" s="143">
        <f>Table24232567891011[HARGA JUAL]*Table24232567891011[SISA]</f>
        <v>320000</v>
      </c>
      <c r="L15" s="144">
        <f>Table24232567891011[HARGA POKOK]*Table24232567891011[STOK]</f>
        <v>914500</v>
      </c>
      <c r="M15" s="144">
        <f>Table24232567891011[HARGA JUAL]*Table24232567891011[STOK]</f>
        <v>1240000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19</v>
      </c>
      <c r="G16" s="142">
        <v>3</v>
      </c>
      <c r="H16" s="141">
        <f>(Table24232567891011[STOK])-(Table24232567891011[TERJUAL])</f>
        <v>16</v>
      </c>
      <c r="I16" s="143">
        <f>(Table24232567891011[HARGA JUAL]*Table24232567891011[TERJUAL])-(Table24232567891011[HARGA POKOK]*Table24232567891011[TERJUAL])</f>
        <v>82500</v>
      </c>
      <c r="J16" s="143">
        <f>(Table24232567891011[HARGA JUAL]*Table24232567891011[TERJUAL])</f>
        <v>300000</v>
      </c>
      <c r="K16" s="143">
        <f>Table24232567891011[HARGA JUAL]*Table24232567891011[SISA]</f>
        <v>1600000</v>
      </c>
      <c r="L16" s="144">
        <f>Table24232567891011[HARGA POKOK]*Table24232567891011[STOK]</f>
        <v>1377500</v>
      </c>
      <c r="M16" s="144">
        <f>Table24232567891011[HARGA JUAL]*Table24232567891011[STOK]</f>
        <v>1900000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58</v>
      </c>
      <c r="G17" s="142"/>
      <c r="H17" s="141">
        <f>(Table24232567891011[STOK])-(Table24232567891011[TERJUAL])</f>
        <v>58</v>
      </c>
      <c r="I17" s="143">
        <f>(Table24232567891011[HARGA JUAL]*Table24232567891011[TERJUAL])-(Table24232567891011[HARGA POKOK]*Table24232567891011[TERJUAL])</f>
        <v>0</v>
      </c>
      <c r="J17" s="143">
        <f>(Table24232567891011[HARGA JUAL]*Table24232567891011[TERJUAL])</f>
        <v>0</v>
      </c>
      <c r="K17" s="143">
        <f>Table24232567891011[HARGA JUAL]*Table24232567891011[SISA]</f>
        <v>4930000</v>
      </c>
      <c r="L17" s="144">
        <f>Table24232567891011[HARGA POKOK]*Table24232567891011[STOK]</f>
        <v>3828000</v>
      </c>
      <c r="M17" s="144">
        <f>Table24232567891011[HARGA JUAL]*Table24232567891011[STOK]</f>
        <v>4930000</v>
      </c>
      <c r="N17" s="145"/>
    </row>
    <row r="18" spans="1:14" x14ac:dyDescent="0.25">
      <c r="A18" s="137">
        <v>14</v>
      </c>
      <c r="B18" s="138" t="s">
        <v>28</v>
      </c>
      <c r="C18" s="138" t="s">
        <v>48</v>
      </c>
      <c r="D18" s="140">
        <v>22500</v>
      </c>
      <c r="E18" s="140">
        <v>28000</v>
      </c>
      <c r="F18" s="141">
        <v>572</v>
      </c>
      <c r="G18" s="142">
        <v>3</v>
      </c>
      <c r="H18" s="141">
        <f>(Table24232567891011[STOK])-(Table24232567891011[TERJUAL])</f>
        <v>569</v>
      </c>
      <c r="I18" s="143">
        <f>(Table24232567891011[HARGA JUAL]*Table24232567891011[TERJUAL])-(Table24232567891011[HARGA POKOK]*Table24232567891011[TERJUAL])</f>
        <v>16500</v>
      </c>
      <c r="J18" s="143">
        <f>(Table24232567891011[HARGA JUAL]*Table24232567891011[TERJUAL])</f>
        <v>84000</v>
      </c>
      <c r="K18" s="143">
        <f>Table24232567891011[HARGA JUAL]*Table24232567891011[SISA]</f>
        <v>15932000</v>
      </c>
      <c r="L18" s="144">
        <f>Table24232567891011[HARGA POKOK]*Table24232567891011[STOK]</f>
        <v>12870000</v>
      </c>
      <c r="M18" s="144">
        <f>Table24232567891011[HARGA JUAL]*Table24232567891011[STOK]</f>
        <v>16016000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48</v>
      </c>
      <c r="G19" s="142">
        <v>9</v>
      </c>
      <c r="H19" s="141">
        <f>(Table24232567891011[STOK])-(Table24232567891011[TERJUAL])</f>
        <v>39</v>
      </c>
      <c r="I19" s="143">
        <f>(Table24232567891011[HARGA JUAL]*Table24232567891011[TERJUAL])-(Table24232567891011[HARGA POKOK]*Table24232567891011[TERJUAL])</f>
        <v>216000</v>
      </c>
      <c r="J19" s="143">
        <f>(Table24232567891011[HARGA JUAL]*Table24232567891011[TERJUAL])</f>
        <v>720000</v>
      </c>
      <c r="K19" s="143">
        <f>Table24232567891011[HARGA JUAL]*Table24232567891011[SISA]</f>
        <v>3120000</v>
      </c>
      <c r="L19" s="144">
        <f>Table24232567891011[HARGA POKOK]*Table24232567891011[STOK]</f>
        <v>2688000</v>
      </c>
      <c r="M19" s="144">
        <f>Table24232567891011[HARGA JUAL]*Table24232567891011[STOK]</f>
        <v>3840000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17</v>
      </c>
      <c r="G20" s="142">
        <v>3</v>
      </c>
      <c r="H20" s="141">
        <f>(Table24232567891011[STOK])-(Table24232567891011[TERJUAL])</f>
        <v>14</v>
      </c>
      <c r="I20" s="143">
        <f>(Table24232567891011[HARGA JUAL]*Table24232567891011[TERJUAL])-(Table24232567891011[HARGA POKOK]*Table24232567891011[TERJUAL])</f>
        <v>60000</v>
      </c>
      <c r="J20" s="143">
        <f>(Table24232567891011[HARGA JUAL]*Table24232567891011[TERJUAL])</f>
        <v>180000</v>
      </c>
      <c r="K20" s="143">
        <f>Table24232567891011[HARGA JUAL]*Table24232567891011[SISA]</f>
        <v>840000</v>
      </c>
      <c r="L20" s="144">
        <f>Table24232567891011[HARGA POKOK]*Table24232567891011[STOK]</f>
        <v>680000</v>
      </c>
      <c r="M20" s="144">
        <f>Table24232567891011[HARGA JUAL]*Table24232567891011[STOK]</f>
        <v>1020000</v>
      </c>
      <c r="N20" s="145" t="s">
        <v>242</v>
      </c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88</v>
      </c>
      <c r="G21" s="142">
        <v>2</v>
      </c>
      <c r="H21" s="141">
        <f>(Table24232567891011[STOK])-(Table24232567891011[TERJUAL])</f>
        <v>86</v>
      </c>
      <c r="I21" s="143">
        <f>(Table24232567891011[HARGA JUAL]*Table24232567891011[TERJUAL])-(Table24232567891011[HARGA POKOK]*Table24232567891011[TERJUAL])</f>
        <v>23000</v>
      </c>
      <c r="J21" s="143">
        <f>(Table24232567891011[HARGA JUAL]*Table24232567891011[TERJUAL])</f>
        <v>44000</v>
      </c>
      <c r="K21" s="143">
        <f>Table24232567891011[HARGA JUAL]*Table24232567891011[SISA]</f>
        <v>1892000</v>
      </c>
      <c r="L21" s="144">
        <f>Table24232567891011[HARGA POKOK]*Table24232567891011[STOK]</f>
        <v>924000</v>
      </c>
      <c r="M21" s="144">
        <f>Table24232567891011[HARGA JUAL]*Table24232567891011[STOK]</f>
        <v>1936000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66</v>
      </c>
      <c r="G22" s="142">
        <v>2</v>
      </c>
      <c r="H22" s="141">
        <f>(Table24232567891011[STOK])-(Table24232567891011[TERJUAL])</f>
        <v>64</v>
      </c>
      <c r="I22" s="143">
        <f>(Table24232567891011[HARGA JUAL]*Table24232567891011[TERJUAL])-(Table24232567891011[HARGA POKOK]*Table24232567891011[TERJUAL])</f>
        <v>40000</v>
      </c>
      <c r="J22" s="143">
        <f>(Table24232567891011[HARGA JUAL]*Table24232567891011[TERJUAL])</f>
        <v>160000</v>
      </c>
      <c r="K22" s="143">
        <f>Table24232567891011[HARGA JUAL]*Table24232567891011[SISA]</f>
        <v>5120000</v>
      </c>
      <c r="L22" s="144">
        <f>Table24232567891011[HARGA POKOK]*Table24232567891011[STOK]</f>
        <v>3960000</v>
      </c>
      <c r="M22" s="144">
        <f>Table24232567891011[HARGA JUAL]*Table24232567891011[STOK]</f>
        <v>5280000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91</v>
      </c>
      <c r="G23" s="142">
        <v>3</v>
      </c>
      <c r="H23" s="141">
        <f>(Table24232567891011[STOK])-(Table24232567891011[TERJUAL])</f>
        <v>88</v>
      </c>
      <c r="I23" s="143">
        <f>(Table24232567891011[HARGA JUAL]*Table24232567891011[TERJUAL])-(Table24232567891011[HARGA POKOK]*Table24232567891011[TERJUAL])</f>
        <v>31500</v>
      </c>
      <c r="J23" s="143">
        <f>(Table24232567891011[HARGA JUAL]*Table24232567891011[TERJUAL])</f>
        <v>75000</v>
      </c>
      <c r="K23" s="143">
        <f>Table24232567891011[HARGA JUAL]*Table24232567891011[SISA]</f>
        <v>2200000</v>
      </c>
      <c r="L23" s="144">
        <f>Table24232567891011[HARGA POKOK]*Table24232567891011[STOK]</f>
        <v>1319500</v>
      </c>
      <c r="M23" s="144">
        <f>Table24232567891011[HARGA JUAL]*Table24232567891011[STOK]</f>
        <v>2275000</v>
      </c>
      <c r="N23" s="145"/>
    </row>
    <row r="24" spans="1:14" x14ac:dyDescent="0.25">
      <c r="A24" s="137">
        <v>20</v>
      </c>
      <c r="B24" s="138" t="s">
        <v>28</v>
      </c>
      <c r="C24" s="138" t="s">
        <v>52</v>
      </c>
      <c r="D24" s="140">
        <v>30000</v>
      </c>
      <c r="E24" s="140">
        <v>30000</v>
      </c>
      <c r="F24" s="141">
        <v>98</v>
      </c>
      <c r="G24" s="142">
        <v>3</v>
      </c>
      <c r="H24" s="141">
        <f>(Table24232567891011[STOK])-(Table24232567891011[TERJUAL])</f>
        <v>95</v>
      </c>
      <c r="I24" s="143">
        <f>(Table24232567891011[HARGA JUAL]*Table24232567891011[TERJUAL])-(Table24232567891011[HARGA POKOK]*Table24232567891011[TERJUAL])</f>
        <v>0</v>
      </c>
      <c r="J24" s="143">
        <f>(Table24232567891011[HARGA JUAL]*Table24232567891011[TERJUAL])</f>
        <v>90000</v>
      </c>
      <c r="K24" s="143">
        <f>Table24232567891011[HARGA JUAL]*Table24232567891011[SISA]</f>
        <v>2850000</v>
      </c>
      <c r="L24" s="144">
        <f>Table24232567891011[HARGA POKOK]*Table24232567891011[STOK]</f>
        <v>2940000</v>
      </c>
      <c r="M24" s="144">
        <f>Table24232567891011[HARGA JUAL]*Table24232567891011[STOK]</f>
        <v>2940000</v>
      </c>
      <c r="N24" s="145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3000</v>
      </c>
      <c r="E25" s="140">
        <v>5000</v>
      </c>
      <c r="F25" s="141">
        <v>0</v>
      </c>
      <c r="G25" s="142"/>
      <c r="H25" s="141">
        <f>(Table24232567891011[STOK])-(Table24232567891011[TERJUAL])</f>
        <v>0</v>
      </c>
      <c r="I25" s="143">
        <f>(Table24232567891011[HARGA JUAL]*Table24232567891011[TERJUAL])-(Table24232567891011[HARGA POKOK]*Table24232567891011[TERJUAL])</f>
        <v>0</v>
      </c>
      <c r="J25" s="143">
        <f>(Table24232567891011[HARGA JUAL]*Table24232567891011[TERJUAL])</f>
        <v>0</v>
      </c>
      <c r="K25" s="143">
        <f>Table24232567891011[HARGA JUAL]*Table24232567891011[SISA]</f>
        <v>0</v>
      </c>
      <c r="L25" s="144">
        <f>Table24232567891011[HARGA POKOK]*Table24232567891011[STOK]</f>
        <v>0</v>
      </c>
      <c r="M25" s="144">
        <f>Table24232567891011[HARGA JUAL]*Table24232567891011[STOK]</f>
        <v>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93</v>
      </c>
      <c r="G26" s="142"/>
      <c r="H26" s="141">
        <f>(Table24232567891011[STOK])-(Table24232567891011[TERJUAL])</f>
        <v>93</v>
      </c>
      <c r="I26" s="143">
        <f>(Table24232567891011[HARGA JUAL]*Table24232567891011[TERJUAL])-(Table24232567891011[HARGA POKOK]*Table24232567891011[TERJUAL])</f>
        <v>0</v>
      </c>
      <c r="J26" s="143">
        <f>(Table24232567891011[HARGA JUAL]*Table24232567891011[TERJUAL])</f>
        <v>0</v>
      </c>
      <c r="K26" s="143">
        <f>Table24232567891011[HARGA JUAL]*Table24232567891011[SISA]</f>
        <v>5580000</v>
      </c>
      <c r="L26" s="144">
        <f>Table24232567891011[HARGA POKOK]*Table24232567891011[STOK]</f>
        <v>4417500</v>
      </c>
      <c r="M26" s="144">
        <f>Table24232567891011[HARGA JUAL]*Table24232567891011[STOK]</f>
        <v>5580000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9</v>
      </c>
      <c r="G27" s="142"/>
      <c r="H27" s="141">
        <f>(Table24232567891011[STOK])-(Table24232567891011[TERJUAL])</f>
        <v>9</v>
      </c>
      <c r="I27" s="143">
        <f>(Table24232567891011[HARGA JUAL]*Table24232567891011[TERJUAL])-(Table24232567891011[HARGA POKOK]*Table24232567891011[TERJUAL])</f>
        <v>0</v>
      </c>
      <c r="J27" s="143">
        <f>(Table24232567891011[HARGA JUAL]*Table24232567891011[TERJUAL])</f>
        <v>0</v>
      </c>
      <c r="K27" s="143">
        <f>Table24232567891011[HARGA JUAL]*Table24232567891011[SISA]</f>
        <v>1287000</v>
      </c>
      <c r="L27" s="144">
        <f>Table24232567891011[HARGA POKOK]*Table24232567891011[STOK]</f>
        <v>1030500</v>
      </c>
      <c r="M27" s="144">
        <f>Table24232567891011[HARGA JUAL]*Table24232567891011[STOK]</f>
        <v>1287000</v>
      </c>
      <c r="N27" s="145"/>
    </row>
    <row r="28" spans="1:14" x14ac:dyDescent="0.25">
      <c r="A28" s="137">
        <v>24</v>
      </c>
      <c r="B28" s="138" t="s">
        <v>29</v>
      </c>
      <c r="C28" s="138" t="s">
        <v>56</v>
      </c>
      <c r="D28" s="140">
        <v>82500</v>
      </c>
      <c r="E28" s="140">
        <v>120000</v>
      </c>
      <c r="F28" s="141">
        <v>0</v>
      </c>
      <c r="G28" s="142"/>
      <c r="H28" s="141">
        <f>(Table24232567891011[STOK])-(Table24232567891011[TERJUAL])</f>
        <v>0</v>
      </c>
      <c r="I28" s="143">
        <f>(Table24232567891011[HARGA JUAL]*Table24232567891011[TERJUAL])-(Table24232567891011[HARGA POKOK]*Table24232567891011[TERJUAL])</f>
        <v>0</v>
      </c>
      <c r="J28" s="143">
        <f>(Table24232567891011[HARGA JUAL]*Table24232567891011[TERJUAL])</f>
        <v>0</v>
      </c>
      <c r="K28" s="143">
        <f>Table24232567891011[HARGA JUAL]*Table24232567891011[SISA]</f>
        <v>0</v>
      </c>
      <c r="L28" s="144">
        <f>Table24232567891011[HARGA POKOK]*Table24232567891011[STOK]</f>
        <v>0</v>
      </c>
      <c r="M28" s="144">
        <f>Table24232567891011[HARGA JUAL]*Table24232567891011[STOK]</f>
        <v>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(Table24232567891011[STOK])-(Table24232567891011[TERJUAL])</f>
        <v>0</v>
      </c>
      <c r="I29" s="143">
        <f>(Table24232567891011[HARGA JUAL]*Table24232567891011[TERJUAL])-(Table24232567891011[HARGA POKOK]*Table24232567891011[TERJUAL])</f>
        <v>0</v>
      </c>
      <c r="J29" s="143">
        <f>(Table24232567891011[HARGA JUAL]*Table24232567891011[TERJUAL])</f>
        <v>0</v>
      </c>
      <c r="K29" s="143">
        <f>Table24232567891011[HARGA JUAL]*Table24232567891011[SISA]</f>
        <v>0</v>
      </c>
      <c r="L29" s="144">
        <f>Table24232567891011[HARGA POKOK]*Table24232567891011[STOK]</f>
        <v>0</v>
      </c>
      <c r="M29" s="144">
        <f>Table24232567891011[HARGA JUAL]*Table24232567891011[STOK]</f>
        <v>0</v>
      </c>
      <c r="N29" s="145"/>
    </row>
    <row r="30" spans="1:14" x14ac:dyDescent="0.25">
      <c r="A30" s="137">
        <v>26</v>
      </c>
      <c r="B30" s="138" t="s">
        <v>30</v>
      </c>
      <c r="C30" s="138" t="s">
        <v>58</v>
      </c>
      <c r="D30" s="140">
        <v>10000</v>
      </c>
      <c r="E30" s="140">
        <v>18000</v>
      </c>
      <c r="F30" s="141">
        <v>14</v>
      </c>
      <c r="G30" s="142">
        <v>10</v>
      </c>
      <c r="H30" s="141">
        <f>(Table24232567891011[STOK])-(Table24232567891011[TERJUAL])</f>
        <v>4</v>
      </c>
      <c r="I30" s="143">
        <f>(Table24232567891011[HARGA JUAL]*Table24232567891011[TERJUAL])-(Table24232567891011[HARGA POKOK]*Table24232567891011[TERJUAL])</f>
        <v>80000</v>
      </c>
      <c r="J30" s="143">
        <f>(Table24232567891011[HARGA JUAL]*Table24232567891011[TERJUAL])</f>
        <v>180000</v>
      </c>
      <c r="K30" s="143">
        <f>Table24232567891011[HARGA JUAL]*Table24232567891011[SISA]</f>
        <v>72000</v>
      </c>
      <c r="L30" s="144">
        <f>Table24232567891011[HARGA POKOK]*Table24232567891011[STOK]</f>
        <v>140000</v>
      </c>
      <c r="M30" s="144">
        <f>Table24232567891011[HARGA JUAL]*Table24232567891011[STOK]</f>
        <v>252000</v>
      </c>
      <c r="N30" s="145"/>
    </row>
    <row r="31" spans="1:14" x14ac:dyDescent="0.25">
      <c r="A31" s="137">
        <v>27</v>
      </c>
      <c r="B31" s="138" t="s">
        <v>30</v>
      </c>
      <c r="C31" s="138" t="s">
        <v>59</v>
      </c>
      <c r="D31" s="140">
        <v>27500</v>
      </c>
      <c r="E31" s="140">
        <v>45000</v>
      </c>
      <c r="F31" s="141">
        <v>24</v>
      </c>
      <c r="G31" s="142">
        <v>1</v>
      </c>
      <c r="H31" s="141">
        <f>(Table24232567891011[STOK])-(Table24232567891011[TERJUAL])</f>
        <v>23</v>
      </c>
      <c r="I31" s="143">
        <f>(Table24232567891011[HARGA JUAL]*Table24232567891011[TERJUAL])-(Table24232567891011[HARGA POKOK]*Table24232567891011[TERJUAL])</f>
        <v>17500</v>
      </c>
      <c r="J31" s="143">
        <f>(Table24232567891011[HARGA JUAL]*Table24232567891011[TERJUAL])</f>
        <v>45000</v>
      </c>
      <c r="K31" s="143">
        <f>Table24232567891011[HARGA JUAL]*Table24232567891011[SISA]</f>
        <v>1035000</v>
      </c>
      <c r="L31" s="144">
        <f>Table24232567891011[HARGA POKOK]*Table24232567891011[STOK]</f>
        <v>660000</v>
      </c>
      <c r="M31" s="144">
        <f>Table24232567891011[HARGA JUAL]*Table24232567891011[STOK]</f>
        <v>1080000</v>
      </c>
      <c r="N31" s="145"/>
    </row>
    <row r="32" spans="1:14" x14ac:dyDescent="0.25">
      <c r="A32" s="137">
        <v>28</v>
      </c>
      <c r="B32" s="138" t="s">
        <v>30</v>
      </c>
      <c r="C32" s="138" t="s">
        <v>60</v>
      </c>
      <c r="D32" s="140">
        <v>12500</v>
      </c>
      <c r="E32" s="140">
        <v>16000</v>
      </c>
      <c r="F32" s="141">
        <v>94</v>
      </c>
      <c r="G32" s="142">
        <v>57</v>
      </c>
      <c r="H32" s="141">
        <f>(Table24232567891011[STOK])-(Table24232567891011[TERJUAL])</f>
        <v>37</v>
      </c>
      <c r="I32" s="143">
        <f>(Table24232567891011[HARGA JUAL]*Table24232567891011[TERJUAL])-(Table24232567891011[HARGA POKOK]*Table24232567891011[TERJUAL])</f>
        <v>199500</v>
      </c>
      <c r="J32" s="143">
        <f>(Table24232567891011[HARGA JUAL]*Table24232567891011[TERJUAL])</f>
        <v>912000</v>
      </c>
      <c r="K32" s="143">
        <f>Table24232567891011[HARGA JUAL]*Table24232567891011[SISA]</f>
        <v>592000</v>
      </c>
      <c r="L32" s="144">
        <f>Table24232567891011[HARGA POKOK]*Table24232567891011[STOK]</f>
        <v>1175000</v>
      </c>
      <c r="M32" s="144">
        <f>Table24232567891011[HARGA JUAL]*Table24232567891011[STOK]</f>
        <v>1504000</v>
      </c>
      <c r="N32" s="145"/>
    </row>
    <row r="33" spans="1:14" x14ac:dyDescent="0.25">
      <c r="A33" s="137">
        <v>29</v>
      </c>
      <c r="B33" s="138" t="s">
        <v>30</v>
      </c>
      <c r="C33" s="138" t="s">
        <v>13</v>
      </c>
      <c r="D33" s="140">
        <v>33500</v>
      </c>
      <c r="E33" s="140">
        <v>50000</v>
      </c>
      <c r="F33" s="141">
        <v>0</v>
      </c>
      <c r="G33" s="142"/>
      <c r="H33" s="141">
        <f>(Table24232567891011[STOK])-(Table24232567891011[TERJUAL])</f>
        <v>0</v>
      </c>
      <c r="I33" s="143">
        <f>(Table24232567891011[HARGA JUAL]*Table24232567891011[TERJUAL])-(Table24232567891011[HARGA POKOK]*Table24232567891011[TERJUAL])</f>
        <v>0</v>
      </c>
      <c r="J33" s="143">
        <f>(Table24232567891011[HARGA JUAL]*Table24232567891011[TERJUAL])</f>
        <v>0</v>
      </c>
      <c r="K33" s="143">
        <f>Table24232567891011[HARGA JUAL]*Table24232567891011[SISA]</f>
        <v>0</v>
      </c>
      <c r="L33" s="144">
        <f>Table24232567891011[HARGA POKOK]*Table24232567891011[STOK]</f>
        <v>0</v>
      </c>
      <c r="M33" s="144">
        <f>Table24232567891011[HARGA JUAL]*Table24232567891011[STOK]</f>
        <v>0</v>
      </c>
      <c r="N33" s="145"/>
    </row>
    <row r="34" spans="1:14" x14ac:dyDescent="0.25">
      <c r="A34" s="137">
        <v>30</v>
      </c>
      <c r="B34" s="138" t="s">
        <v>30</v>
      </c>
      <c r="C34" s="138" t="s">
        <v>14</v>
      </c>
      <c r="D34" s="140">
        <v>8500</v>
      </c>
      <c r="E34" s="140">
        <v>12000</v>
      </c>
      <c r="F34" s="141">
        <v>193</v>
      </c>
      <c r="G34" s="142">
        <v>21</v>
      </c>
      <c r="H34" s="141">
        <f>(Table24232567891011[STOK])-(Table24232567891011[TERJUAL])</f>
        <v>172</v>
      </c>
      <c r="I34" s="143">
        <f>(Table24232567891011[HARGA JUAL]*Table24232567891011[TERJUAL])-(Table24232567891011[HARGA POKOK]*Table24232567891011[TERJUAL])</f>
        <v>73500</v>
      </c>
      <c r="J34" s="143">
        <f>(Table24232567891011[HARGA JUAL]*Table24232567891011[TERJUAL])</f>
        <v>252000</v>
      </c>
      <c r="K34" s="143">
        <f>Table24232567891011[HARGA JUAL]*Table24232567891011[SISA]</f>
        <v>2064000</v>
      </c>
      <c r="L34" s="144">
        <f>Table24232567891011[HARGA POKOK]*Table24232567891011[STOK]</f>
        <v>1640500</v>
      </c>
      <c r="M34" s="144">
        <f>Table24232567891011[HARGA JUAL]*Table24232567891011[STOK]</f>
        <v>2316000</v>
      </c>
      <c r="N34" s="145"/>
    </row>
    <row r="35" spans="1:14" x14ac:dyDescent="0.25">
      <c r="A35" s="137">
        <v>31</v>
      </c>
      <c r="B35" s="138" t="s">
        <v>30</v>
      </c>
      <c r="C35" s="138" t="s">
        <v>15</v>
      </c>
      <c r="D35" s="140">
        <v>30500</v>
      </c>
      <c r="E35" s="140">
        <v>45000</v>
      </c>
      <c r="F35" s="141">
        <v>24</v>
      </c>
      <c r="G35" s="142">
        <v>2</v>
      </c>
      <c r="H35" s="141">
        <f>(Table24232567891011[STOK])-(Table24232567891011[TERJUAL])</f>
        <v>22</v>
      </c>
      <c r="I35" s="143">
        <f>(Table24232567891011[HARGA JUAL]*Table24232567891011[TERJUAL])-(Table24232567891011[HARGA POKOK]*Table24232567891011[TERJUAL])</f>
        <v>29000</v>
      </c>
      <c r="J35" s="143">
        <f>(Table24232567891011[HARGA JUAL]*Table24232567891011[TERJUAL])</f>
        <v>90000</v>
      </c>
      <c r="K35" s="143">
        <f>Table24232567891011[HARGA JUAL]*Table24232567891011[SISA]</f>
        <v>990000</v>
      </c>
      <c r="L35" s="144">
        <f>Table24232567891011[HARGA POKOK]*Table24232567891011[STOK]</f>
        <v>732000</v>
      </c>
      <c r="M35" s="144">
        <f>Table24232567891011[HARGA JUAL]*Table24232567891011[STOK]</f>
        <v>1080000</v>
      </c>
      <c r="N35" s="145"/>
    </row>
    <row r="36" spans="1:14" x14ac:dyDescent="0.25">
      <c r="A36" s="137">
        <v>32</v>
      </c>
      <c r="B36" s="138" t="s">
        <v>30</v>
      </c>
      <c r="C36" s="138" t="s">
        <v>16</v>
      </c>
      <c r="D36" s="140">
        <v>7500</v>
      </c>
      <c r="E36" s="140">
        <v>10000</v>
      </c>
      <c r="F36" s="141">
        <v>168</v>
      </c>
      <c r="G36" s="142">
        <v>14</v>
      </c>
      <c r="H36" s="141">
        <f>(Table24232567891011[STOK])-(Table24232567891011[TERJUAL])</f>
        <v>154</v>
      </c>
      <c r="I36" s="143">
        <f>(Table24232567891011[HARGA JUAL]*Table24232567891011[TERJUAL])-(Table24232567891011[HARGA POKOK]*Table24232567891011[TERJUAL])</f>
        <v>35000</v>
      </c>
      <c r="J36" s="143">
        <f>(Table24232567891011[HARGA JUAL]*Table24232567891011[TERJUAL])</f>
        <v>140000</v>
      </c>
      <c r="K36" s="143">
        <f>Table24232567891011[HARGA JUAL]*Table24232567891011[SISA]</f>
        <v>1540000</v>
      </c>
      <c r="L36" s="144">
        <f>Table24232567891011[HARGA POKOK]*Table24232567891011[STOK]</f>
        <v>1260000</v>
      </c>
      <c r="M36" s="144">
        <f>Table24232567891011[HARGA JUAL]*Table24232567891011[STOK]</f>
        <v>1680000</v>
      </c>
      <c r="N36" s="145"/>
    </row>
    <row r="37" spans="1:14" x14ac:dyDescent="0.25">
      <c r="A37" s="137">
        <v>33</v>
      </c>
      <c r="B37" s="138" t="s">
        <v>35</v>
      </c>
      <c r="C37" s="138" t="s">
        <v>36</v>
      </c>
      <c r="D37" s="140">
        <v>51500</v>
      </c>
      <c r="E37" s="140">
        <v>65000</v>
      </c>
      <c r="F37" s="141">
        <v>37</v>
      </c>
      <c r="G37" s="142">
        <v>2</v>
      </c>
      <c r="H37" s="141">
        <f>(Table24232567891011[STOK])-(Table24232567891011[TERJUAL])</f>
        <v>35</v>
      </c>
      <c r="I37" s="143">
        <f>(Table24232567891011[HARGA JUAL]*Table24232567891011[TERJUAL])-(Table24232567891011[HARGA POKOK]*Table24232567891011[TERJUAL])</f>
        <v>27000</v>
      </c>
      <c r="J37" s="143">
        <f>(Table24232567891011[HARGA JUAL]*Table24232567891011[TERJUAL])</f>
        <v>130000</v>
      </c>
      <c r="K37" s="143">
        <f>Table24232567891011[HARGA JUAL]*Table24232567891011[SISA]</f>
        <v>2275000</v>
      </c>
      <c r="L37" s="144">
        <f>Table24232567891011[HARGA POKOK]*Table24232567891011[STOK]</f>
        <v>1905500</v>
      </c>
      <c r="M37" s="144">
        <f>Table24232567891011[HARGA JUAL]*Table24232567891011[STOK]</f>
        <v>2405000</v>
      </c>
      <c r="N37" s="145"/>
    </row>
    <row r="38" spans="1:14" x14ac:dyDescent="0.25">
      <c r="A38" s="137">
        <v>34</v>
      </c>
      <c r="B38" s="138" t="s">
        <v>35</v>
      </c>
      <c r="C38" s="138" t="s">
        <v>175</v>
      </c>
      <c r="D38" s="140">
        <v>27500</v>
      </c>
      <c r="E38" s="140">
        <v>40000</v>
      </c>
      <c r="F38" s="141">
        <v>85</v>
      </c>
      <c r="G38" s="142">
        <v>4</v>
      </c>
      <c r="H38" s="141">
        <f>(Table24232567891011[STOK])-(Table24232567891011[TERJUAL])</f>
        <v>81</v>
      </c>
      <c r="I38" s="143">
        <f>(Table24232567891011[HARGA JUAL]*Table24232567891011[TERJUAL])-(Table24232567891011[HARGA POKOK]*Table24232567891011[TERJUAL])</f>
        <v>50000</v>
      </c>
      <c r="J38" s="143">
        <f>(Table24232567891011[HARGA JUAL]*Table24232567891011[TERJUAL])</f>
        <v>160000</v>
      </c>
      <c r="K38" s="143">
        <f>Table24232567891011[HARGA JUAL]*Table24232567891011[SISA]</f>
        <v>3240000</v>
      </c>
      <c r="L38" s="144">
        <f>Table24232567891011[HARGA POKOK]*Table24232567891011[STOK]</f>
        <v>2337500</v>
      </c>
      <c r="M38" s="144">
        <f>Table24232567891011[HARGA JUAL]*Table24232567891011[STOK]</f>
        <v>3400000</v>
      </c>
      <c r="N38" s="145"/>
    </row>
    <row r="39" spans="1:14" x14ac:dyDescent="0.25">
      <c r="A39" s="137">
        <v>35</v>
      </c>
      <c r="B39" s="138" t="s">
        <v>31</v>
      </c>
      <c r="C39" s="138" t="s">
        <v>180</v>
      </c>
      <c r="D39" s="140">
        <v>21500</v>
      </c>
      <c r="E39" s="140">
        <v>40000</v>
      </c>
      <c r="F39" s="141">
        <v>117</v>
      </c>
      <c r="G39" s="142">
        <v>3</v>
      </c>
      <c r="H39" s="141">
        <f>(Table24232567891011[STOK])-(Table24232567891011[TERJUAL])</f>
        <v>114</v>
      </c>
      <c r="I39" s="143">
        <f>(Table24232567891011[HARGA JUAL]*Table24232567891011[TERJUAL])-(Table24232567891011[HARGA POKOK]*Table24232567891011[TERJUAL])</f>
        <v>55500</v>
      </c>
      <c r="J39" s="143">
        <f>(Table24232567891011[HARGA JUAL]*Table24232567891011[TERJUAL])</f>
        <v>120000</v>
      </c>
      <c r="K39" s="143">
        <f>Table24232567891011[HARGA JUAL]*Table24232567891011[SISA]</f>
        <v>4560000</v>
      </c>
      <c r="L39" s="144">
        <f>Table24232567891011[HARGA POKOK]*Table24232567891011[STOK]</f>
        <v>2515500</v>
      </c>
      <c r="M39" s="144">
        <f>Table24232567891011[HARGA JUAL]*Table24232567891011[STOK]</f>
        <v>4680000</v>
      </c>
      <c r="N39" s="145"/>
    </row>
    <row r="40" spans="1:14" x14ac:dyDescent="0.25">
      <c r="A40" s="137">
        <v>36</v>
      </c>
      <c r="B40" s="138" t="s">
        <v>31</v>
      </c>
      <c r="C40" s="138" t="s">
        <v>62</v>
      </c>
      <c r="D40" s="140">
        <v>25000</v>
      </c>
      <c r="E40" s="140">
        <v>40000</v>
      </c>
      <c r="F40" s="141">
        <v>5</v>
      </c>
      <c r="G40" s="142"/>
      <c r="H40" s="141">
        <f>(Table24232567891011[STOK])-(Table24232567891011[TERJUAL])</f>
        <v>5</v>
      </c>
      <c r="I40" s="143">
        <f>(Table24232567891011[HARGA JUAL]*Table24232567891011[TERJUAL])-(Table24232567891011[HARGA POKOK]*Table24232567891011[TERJUAL])</f>
        <v>0</v>
      </c>
      <c r="J40" s="143">
        <f>(Table24232567891011[HARGA JUAL]*Table24232567891011[TERJUAL])</f>
        <v>0</v>
      </c>
      <c r="K40" s="143">
        <f>Table24232567891011[HARGA JUAL]*Table24232567891011[SISA]</f>
        <v>200000</v>
      </c>
      <c r="L40" s="144">
        <f>Table24232567891011[HARGA POKOK]*Table24232567891011[STOK]</f>
        <v>125000</v>
      </c>
      <c r="M40" s="144">
        <f>Table24232567891011[HARGA JUAL]*Table24232567891011[STOK]</f>
        <v>200000</v>
      </c>
      <c r="N40" s="145"/>
    </row>
    <row r="41" spans="1:14" x14ac:dyDescent="0.25">
      <c r="A41" s="137">
        <v>37</v>
      </c>
      <c r="B41" s="138" t="s">
        <v>31</v>
      </c>
      <c r="C41" s="138" t="s">
        <v>181</v>
      </c>
      <c r="D41" s="140">
        <v>34500</v>
      </c>
      <c r="E41" s="140">
        <v>40000</v>
      </c>
      <c r="F41" s="141">
        <v>119</v>
      </c>
      <c r="G41" s="142">
        <v>1</v>
      </c>
      <c r="H41" s="141">
        <f>(Table24232567891011[STOK])-(Table24232567891011[TERJUAL])</f>
        <v>118</v>
      </c>
      <c r="I41" s="143">
        <f>(Table24232567891011[HARGA JUAL]*Table24232567891011[TERJUAL])-(Table24232567891011[HARGA POKOK]*Table24232567891011[TERJUAL])</f>
        <v>5500</v>
      </c>
      <c r="J41" s="143">
        <f>(Table24232567891011[HARGA JUAL]*Table24232567891011[TERJUAL])</f>
        <v>40000</v>
      </c>
      <c r="K41" s="143">
        <f>Table24232567891011[HARGA JUAL]*Table24232567891011[SISA]</f>
        <v>4720000</v>
      </c>
      <c r="L41" s="144">
        <f>Table24232567891011[HARGA POKOK]*Table24232567891011[STOK]</f>
        <v>4105500</v>
      </c>
      <c r="M41" s="144">
        <f>Table24232567891011[HARGA JUAL]*Table24232567891011[STOK]</f>
        <v>4760000</v>
      </c>
      <c r="N41" s="145"/>
    </row>
    <row r="42" spans="1:14" x14ac:dyDescent="0.25">
      <c r="A42" s="137">
        <v>38</v>
      </c>
      <c r="B42" s="138" t="s">
        <v>31</v>
      </c>
      <c r="C42" s="138" t="s">
        <v>64</v>
      </c>
      <c r="D42" s="140">
        <v>24000</v>
      </c>
      <c r="E42" s="140">
        <v>40000</v>
      </c>
      <c r="F42" s="141">
        <v>3</v>
      </c>
      <c r="G42" s="142">
        <v>1</v>
      </c>
      <c r="H42" s="141">
        <f>(Table24232567891011[STOK])-(Table24232567891011[TERJUAL])</f>
        <v>2</v>
      </c>
      <c r="I42" s="143">
        <f>(Table24232567891011[HARGA JUAL]*Table24232567891011[TERJUAL])-(Table24232567891011[HARGA POKOK]*Table24232567891011[TERJUAL])</f>
        <v>16000</v>
      </c>
      <c r="J42" s="143">
        <f>(Table24232567891011[HARGA JUAL]*Table24232567891011[TERJUAL])</f>
        <v>40000</v>
      </c>
      <c r="K42" s="143">
        <f>Table24232567891011[HARGA JUAL]*Table24232567891011[SISA]</f>
        <v>80000</v>
      </c>
      <c r="L42" s="144">
        <f>Table24232567891011[HARGA POKOK]*Table24232567891011[STOK]</f>
        <v>72000</v>
      </c>
      <c r="M42" s="144">
        <f>Table24232567891011[HARGA JUAL]*Table24232567891011[STOK]</f>
        <v>120000</v>
      </c>
      <c r="N42" s="145"/>
    </row>
    <row r="43" spans="1:14" x14ac:dyDescent="0.25">
      <c r="A43" s="137">
        <v>39</v>
      </c>
      <c r="B43" s="138" t="s">
        <v>31</v>
      </c>
      <c r="C43" s="138" t="s">
        <v>138</v>
      </c>
      <c r="D43" s="140">
        <v>34000</v>
      </c>
      <c r="E43" s="140">
        <v>40000</v>
      </c>
      <c r="F43" s="141">
        <v>2</v>
      </c>
      <c r="G43" s="142">
        <v>2</v>
      </c>
      <c r="H43" s="141">
        <f>(Table24232567891011[STOK])-(Table24232567891011[TERJUAL])</f>
        <v>0</v>
      </c>
      <c r="I43" s="143">
        <f>(Table24232567891011[HARGA JUAL]*Table24232567891011[TERJUAL])-(Table24232567891011[HARGA POKOK]*Table24232567891011[TERJUAL])</f>
        <v>12000</v>
      </c>
      <c r="J43" s="143">
        <f>(Table24232567891011[HARGA JUAL]*Table24232567891011[TERJUAL])</f>
        <v>80000</v>
      </c>
      <c r="K43" s="143">
        <f>Table24232567891011[HARGA JUAL]*Table24232567891011[SISA]</f>
        <v>0</v>
      </c>
      <c r="L43" s="144">
        <f>Table24232567891011[HARGA POKOK]*Table24232567891011[STOK]</f>
        <v>68000</v>
      </c>
      <c r="M43" s="144">
        <f>Table24232567891011[HARGA JUAL]*Table24232567891011[STOK]</f>
        <v>80000</v>
      </c>
      <c r="N43" s="145"/>
    </row>
    <row r="44" spans="1:14" x14ac:dyDescent="0.25">
      <c r="A44" s="137">
        <v>40</v>
      </c>
      <c r="B44" s="138" t="s">
        <v>31</v>
      </c>
      <c r="C44" s="138" t="s">
        <v>182</v>
      </c>
      <c r="D44" s="140">
        <v>20000</v>
      </c>
      <c r="E44" s="140">
        <v>40000</v>
      </c>
      <c r="F44" s="141">
        <v>1</v>
      </c>
      <c r="G44" s="142"/>
      <c r="H44" s="141">
        <f>(Table24232567891011[STOK])-(Table24232567891011[TERJUAL])</f>
        <v>1</v>
      </c>
      <c r="I44" s="143">
        <f>(Table24232567891011[HARGA JUAL]*Table24232567891011[TERJUAL])-(Table24232567891011[HARGA POKOK]*Table24232567891011[TERJUAL])</f>
        <v>0</v>
      </c>
      <c r="J44" s="143">
        <f>(Table24232567891011[HARGA JUAL]*Table24232567891011[TERJUAL])</f>
        <v>0</v>
      </c>
      <c r="K44" s="143">
        <f>Table24232567891011[HARGA JUAL]*Table24232567891011[SISA]</f>
        <v>40000</v>
      </c>
      <c r="L44" s="144">
        <f>Table24232567891011[HARGA POKOK]*Table24232567891011[STOK]</f>
        <v>20000</v>
      </c>
      <c r="M44" s="144">
        <f>Table24232567891011[HARGA JUAL]*Table24232567891011[STOK]</f>
        <v>40000</v>
      </c>
      <c r="N44" s="145"/>
    </row>
    <row r="45" spans="1:14" x14ac:dyDescent="0.25">
      <c r="A45" s="137">
        <v>41</v>
      </c>
      <c r="B45" s="138" t="s">
        <v>31</v>
      </c>
      <c r="C45" s="138" t="s">
        <v>67</v>
      </c>
      <c r="D45" s="140">
        <v>27500</v>
      </c>
      <c r="E45" s="140">
        <v>40000</v>
      </c>
      <c r="F45" s="141">
        <v>14</v>
      </c>
      <c r="G45" s="142">
        <v>1</v>
      </c>
      <c r="H45" s="141">
        <f>(Table24232567891011[STOK])-(Table24232567891011[TERJUAL])</f>
        <v>13</v>
      </c>
      <c r="I45" s="143">
        <f>(Table24232567891011[HARGA JUAL]*Table24232567891011[TERJUAL])-(Table24232567891011[HARGA POKOK]*Table24232567891011[TERJUAL])</f>
        <v>12500</v>
      </c>
      <c r="J45" s="143">
        <f>(Table24232567891011[HARGA JUAL]*Table24232567891011[TERJUAL])</f>
        <v>40000</v>
      </c>
      <c r="K45" s="143">
        <f>Table24232567891011[HARGA JUAL]*Table24232567891011[SISA]</f>
        <v>520000</v>
      </c>
      <c r="L45" s="144">
        <f>Table24232567891011[HARGA POKOK]*Table24232567891011[STOK]</f>
        <v>385000</v>
      </c>
      <c r="M45" s="144">
        <f>Table24232567891011[HARGA JUAL]*Table24232567891011[STOK]</f>
        <v>560000</v>
      </c>
      <c r="N45" s="145"/>
    </row>
    <row r="46" spans="1:14" x14ac:dyDescent="0.25">
      <c r="A46" s="137">
        <v>42</v>
      </c>
      <c r="B46" s="138" t="s">
        <v>31</v>
      </c>
      <c r="C46" s="138" t="s">
        <v>140</v>
      </c>
      <c r="D46" s="140">
        <v>15000</v>
      </c>
      <c r="E46" s="140">
        <v>30000</v>
      </c>
      <c r="F46" s="141">
        <v>0</v>
      </c>
      <c r="G46" s="142"/>
      <c r="H46" s="141">
        <f>(Table24232567891011[STOK])-(Table24232567891011[TERJUAL])</f>
        <v>0</v>
      </c>
      <c r="I46" s="143">
        <f>(Table24232567891011[HARGA JUAL]*Table24232567891011[TERJUAL])-(Table24232567891011[HARGA POKOK]*Table24232567891011[TERJUAL])</f>
        <v>0</v>
      </c>
      <c r="J46" s="143">
        <f>(Table24232567891011[HARGA JUAL]*Table24232567891011[TERJUAL])</f>
        <v>0</v>
      </c>
      <c r="K46" s="143">
        <f>Table24232567891011[HARGA JUAL]*Table24232567891011[SISA]</f>
        <v>0</v>
      </c>
      <c r="L46" s="144">
        <f>Table24232567891011[HARGA POKOK]*Table24232567891011[STOK]</f>
        <v>0</v>
      </c>
      <c r="M46" s="144">
        <f>Table24232567891011[HARGA JUAL]*Table24232567891011[STOK]</f>
        <v>0</v>
      </c>
      <c r="N46" s="145"/>
    </row>
    <row r="47" spans="1:14" x14ac:dyDescent="0.25">
      <c r="A47" s="137">
        <v>43</v>
      </c>
      <c r="B47" s="138" t="s">
        <v>31</v>
      </c>
      <c r="C47" s="138" t="s">
        <v>137</v>
      </c>
      <c r="D47" s="140">
        <v>190000</v>
      </c>
      <c r="E47" s="140">
        <v>200000</v>
      </c>
      <c r="F47" s="141">
        <v>0</v>
      </c>
      <c r="G47" s="142"/>
      <c r="H47" s="141">
        <f>(Table24232567891011[STOK])-(Table24232567891011[TERJUAL])</f>
        <v>0</v>
      </c>
      <c r="I47" s="143">
        <f>(Table24232567891011[HARGA JUAL]*Table24232567891011[TERJUAL])-(Table24232567891011[HARGA POKOK]*Table24232567891011[TERJUAL])</f>
        <v>0</v>
      </c>
      <c r="J47" s="143">
        <f>(Table24232567891011[HARGA JUAL]*Table24232567891011[TERJUAL])</f>
        <v>0</v>
      </c>
      <c r="K47" s="143">
        <f>Table24232567891011[HARGA JUAL]*Table24232567891011[SISA]</f>
        <v>0</v>
      </c>
      <c r="L47" s="144">
        <f>Table24232567891011[HARGA POKOK]*Table24232567891011[STOK]</f>
        <v>0</v>
      </c>
      <c r="M47" s="144">
        <f>Table24232567891011[HARGA JUAL]*Table24232567891011[STOK]</f>
        <v>0</v>
      </c>
      <c r="N47" s="145"/>
    </row>
    <row r="48" spans="1:14" x14ac:dyDescent="0.25">
      <c r="A48" s="137">
        <v>44</v>
      </c>
      <c r="B48" s="138" t="s">
        <v>31</v>
      </c>
      <c r="C48" s="138" t="s">
        <v>139</v>
      </c>
      <c r="D48" s="140">
        <v>16000</v>
      </c>
      <c r="E48" s="140">
        <v>25000</v>
      </c>
      <c r="F48" s="141">
        <v>3</v>
      </c>
      <c r="G48" s="142"/>
      <c r="H48" s="141">
        <f>(Table24232567891011[STOK])-(Table24232567891011[TERJUAL])</f>
        <v>3</v>
      </c>
      <c r="I48" s="143">
        <f>(Table24232567891011[HARGA JUAL]*Table24232567891011[TERJUAL])-(Table24232567891011[HARGA POKOK]*Table24232567891011[TERJUAL])</f>
        <v>0</v>
      </c>
      <c r="J48" s="143">
        <f>(Table24232567891011[HARGA JUAL]*Table24232567891011[TERJUAL])</f>
        <v>0</v>
      </c>
      <c r="K48" s="143">
        <f>Table24232567891011[HARGA JUAL]*Table24232567891011[SISA]</f>
        <v>75000</v>
      </c>
      <c r="L48" s="144">
        <f>Table24232567891011[HARGA POKOK]*Table24232567891011[STOK]</f>
        <v>48000</v>
      </c>
      <c r="M48" s="144">
        <f>Table24232567891011[HARGA JUAL]*Table24232567891011[STOK]</f>
        <v>75000</v>
      </c>
      <c r="N48" s="145"/>
    </row>
    <row r="49" spans="1:14" x14ac:dyDescent="0.25">
      <c r="A49" s="137">
        <v>45</v>
      </c>
      <c r="B49" s="138" t="s">
        <v>31</v>
      </c>
      <c r="C49" s="138" t="s">
        <v>134</v>
      </c>
      <c r="D49" s="140">
        <v>18000</v>
      </c>
      <c r="E49" s="140">
        <v>30000</v>
      </c>
      <c r="F49" s="141">
        <v>5</v>
      </c>
      <c r="G49" s="142">
        <v>3</v>
      </c>
      <c r="H49" s="141">
        <f>(Table24232567891011[STOK])-(Table24232567891011[TERJUAL])</f>
        <v>2</v>
      </c>
      <c r="I49" s="143">
        <f>(Table24232567891011[HARGA JUAL]*Table24232567891011[TERJUAL])-(Table24232567891011[HARGA POKOK]*Table24232567891011[TERJUAL])</f>
        <v>36000</v>
      </c>
      <c r="J49" s="143">
        <f>(Table24232567891011[HARGA JUAL]*Table24232567891011[TERJUAL])</f>
        <v>90000</v>
      </c>
      <c r="K49" s="143">
        <f>Table24232567891011[HARGA JUAL]*Table24232567891011[SISA]</f>
        <v>60000</v>
      </c>
      <c r="L49" s="144">
        <f>Table24232567891011[HARGA POKOK]*Table24232567891011[STOK]</f>
        <v>90000</v>
      </c>
      <c r="M49" s="144">
        <f>Table24232567891011[HARGA JUAL]*Table24232567891011[STOK]</f>
        <v>150000</v>
      </c>
      <c r="N49" s="145"/>
    </row>
    <row r="50" spans="1:14" x14ac:dyDescent="0.25">
      <c r="A50" s="137">
        <v>46</v>
      </c>
      <c r="B50" s="138" t="s">
        <v>31</v>
      </c>
      <c r="C50" s="138" t="s">
        <v>183</v>
      </c>
      <c r="D50" s="140">
        <v>18000</v>
      </c>
      <c r="E50" s="140">
        <v>30000</v>
      </c>
      <c r="F50" s="141">
        <v>1</v>
      </c>
      <c r="G50" s="142"/>
      <c r="H50" s="141">
        <f>(Table24232567891011[STOK])-(Table24232567891011[TERJUAL])</f>
        <v>1</v>
      </c>
      <c r="I50" s="143">
        <f>(Table24232567891011[HARGA JUAL]*Table24232567891011[TERJUAL])-(Table24232567891011[HARGA POKOK]*Table24232567891011[TERJUAL])</f>
        <v>0</v>
      </c>
      <c r="J50" s="143">
        <f>(Table24232567891011[HARGA JUAL]*Table24232567891011[TERJUAL])</f>
        <v>0</v>
      </c>
      <c r="K50" s="143">
        <f>Table24232567891011[HARGA JUAL]*Table24232567891011[SISA]</f>
        <v>30000</v>
      </c>
      <c r="L50" s="144">
        <f>Table24232567891011[HARGA POKOK]*Table24232567891011[STOK]</f>
        <v>18000</v>
      </c>
      <c r="M50" s="144">
        <f>Table24232567891011[HARGA JUAL]*Table24232567891011[STOK]</f>
        <v>30000</v>
      </c>
      <c r="N50" s="145"/>
    </row>
    <row r="51" spans="1:14" x14ac:dyDescent="0.25">
      <c r="A51" s="137">
        <v>47</v>
      </c>
      <c r="B51" s="138" t="s">
        <v>31</v>
      </c>
      <c r="C51" s="138" t="s">
        <v>184</v>
      </c>
      <c r="D51" s="140">
        <v>12500</v>
      </c>
      <c r="E51" s="140">
        <v>30000</v>
      </c>
      <c r="F51" s="141">
        <v>105</v>
      </c>
      <c r="G51" s="142">
        <v>5</v>
      </c>
      <c r="H51" s="141">
        <f>(Table24232567891011[STOK])-(Table24232567891011[TERJUAL])</f>
        <v>100</v>
      </c>
      <c r="I51" s="143">
        <f>(Table24232567891011[HARGA JUAL]*Table24232567891011[TERJUAL])-(Table24232567891011[HARGA POKOK]*Table24232567891011[TERJUAL])</f>
        <v>87500</v>
      </c>
      <c r="J51" s="143">
        <f>(Table24232567891011[HARGA JUAL]*Table24232567891011[TERJUAL])</f>
        <v>150000</v>
      </c>
      <c r="K51" s="143">
        <f>Table24232567891011[HARGA JUAL]*Table24232567891011[SISA]</f>
        <v>3000000</v>
      </c>
      <c r="L51" s="144">
        <f>Table24232567891011[HARGA POKOK]*Table24232567891011[STOK]</f>
        <v>1312500</v>
      </c>
      <c r="M51" s="144">
        <f>Table24232567891011[HARGA JUAL]*Table24232567891011[STOK]</f>
        <v>3150000</v>
      </c>
      <c r="N51" s="145"/>
    </row>
    <row r="52" spans="1:14" x14ac:dyDescent="0.25">
      <c r="A52" s="137">
        <v>48</v>
      </c>
      <c r="B52" s="138" t="s">
        <v>31</v>
      </c>
      <c r="C52" s="138" t="s">
        <v>185</v>
      </c>
      <c r="D52" s="140">
        <v>28500</v>
      </c>
      <c r="E52" s="140">
        <v>40000</v>
      </c>
      <c r="F52" s="141">
        <v>55</v>
      </c>
      <c r="G52" s="142">
        <v>2</v>
      </c>
      <c r="H52" s="141">
        <f>(Table24232567891011[STOK])-(Table24232567891011[TERJUAL])</f>
        <v>53</v>
      </c>
      <c r="I52" s="143">
        <f>(Table24232567891011[HARGA JUAL]*Table24232567891011[TERJUAL])-(Table24232567891011[HARGA POKOK]*Table24232567891011[TERJUAL])</f>
        <v>23000</v>
      </c>
      <c r="J52" s="143">
        <f>(Table24232567891011[HARGA JUAL]*Table24232567891011[TERJUAL])</f>
        <v>80000</v>
      </c>
      <c r="K52" s="143">
        <f>Table24232567891011[HARGA JUAL]*Table24232567891011[SISA]</f>
        <v>2120000</v>
      </c>
      <c r="L52" s="144">
        <f>Table24232567891011[HARGA POKOK]*Table24232567891011[STOK]</f>
        <v>1567500</v>
      </c>
      <c r="M52" s="144">
        <f>Table24232567891011[HARGA JUAL]*Table24232567891011[STOK]</f>
        <v>2200000</v>
      </c>
      <c r="N52" s="145"/>
    </row>
    <row r="53" spans="1:14" x14ac:dyDescent="0.25">
      <c r="A53" s="137">
        <v>49</v>
      </c>
      <c r="B53" s="138" t="s">
        <v>31</v>
      </c>
      <c r="C53" s="138" t="s">
        <v>186</v>
      </c>
      <c r="D53" s="140">
        <v>48500</v>
      </c>
      <c r="E53" s="140">
        <v>65000</v>
      </c>
      <c r="F53" s="141">
        <v>10</v>
      </c>
      <c r="G53" s="142">
        <v>1</v>
      </c>
      <c r="H53" s="141">
        <f>(Table24232567891011[STOK])-(Table24232567891011[TERJUAL])</f>
        <v>9</v>
      </c>
      <c r="I53" s="143">
        <f>(Table24232567891011[HARGA JUAL]*Table24232567891011[TERJUAL])-(Table24232567891011[HARGA POKOK]*Table24232567891011[TERJUAL])</f>
        <v>16500</v>
      </c>
      <c r="J53" s="143">
        <f>(Table24232567891011[HARGA JUAL]*Table24232567891011[TERJUAL])</f>
        <v>65000</v>
      </c>
      <c r="K53" s="143">
        <f>Table24232567891011[HARGA JUAL]*Table24232567891011[SISA]</f>
        <v>585000</v>
      </c>
      <c r="L53" s="144">
        <f>Table24232567891011[HARGA POKOK]*Table24232567891011[STOK]</f>
        <v>485000</v>
      </c>
      <c r="M53" s="144">
        <f>Table24232567891011[HARGA JUAL]*Table24232567891011[STOK]</f>
        <v>650000</v>
      </c>
      <c r="N53" s="145"/>
    </row>
    <row r="54" spans="1:14" x14ac:dyDescent="0.25">
      <c r="A54" s="137">
        <v>50</v>
      </c>
      <c r="B54" s="138" t="s">
        <v>31</v>
      </c>
      <c r="C54" s="138" t="s">
        <v>187</v>
      </c>
      <c r="D54" s="140">
        <v>47500</v>
      </c>
      <c r="E54" s="140">
        <v>65000</v>
      </c>
      <c r="F54" s="141">
        <v>77</v>
      </c>
      <c r="G54" s="142">
        <v>10</v>
      </c>
      <c r="H54" s="141">
        <f>(Table24232567891011[STOK])-(Table24232567891011[TERJUAL])</f>
        <v>67</v>
      </c>
      <c r="I54" s="143">
        <f>(Table24232567891011[HARGA JUAL]*Table24232567891011[TERJUAL])-(Table24232567891011[HARGA POKOK]*Table24232567891011[TERJUAL])</f>
        <v>175000</v>
      </c>
      <c r="J54" s="143">
        <f>(Table24232567891011[HARGA JUAL]*Table24232567891011[TERJUAL])</f>
        <v>650000</v>
      </c>
      <c r="K54" s="143">
        <f>Table24232567891011[HARGA JUAL]*Table24232567891011[SISA]</f>
        <v>4355000</v>
      </c>
      <c r="L54" s="144">
        <f>Table24232567891011[HARGA POKOK]*Table24232567891011[STOK]</f>
        <v>3657500</v>
      </c>
      <c r="M54" s="144">
        <f>Table24232567891011[HARGA JUAL]*Table24232567891011[STOK]</f>
        <v>5005000</v>
      </c>
      <c r="N54" s="145"/>
    </row>
    <row r="55" spans="1:14" x14ac:dyDescent="0.25">
      <c r="A55" s="137">
        <v>51</v>
      </c>
      <c r="B55" s="138" t="s">
        <v>32</v>
      </c>
      <c r="C55" s="138" t="s">
        <v>18</v>
      </c>
      <c r="D55" s="140">
        <v>1700</v>
      </c>
      <c r="E55" s="140">
        <v>5000</v>
      </c>
      <c r="F55" s="141">
        <v>129</v>
      </c>
      <c r="G55" s="142">
        <v>76</v>
      </c>
      <c r="H55" s="141">
        <f>(Table24232567891011[STOK])-(Table24232567891011[TERJUAL])</f>
        <v>53</v>
      </c>
      <c r="I55" s="143">
        <f>(Table24232567891011[HARGA JUAL]*Table24232567891011[TERJUAL])-(Table24232567891011[HARGA POKOK]*Table24232567891011[TERJUAL])</f>
        <v>250800</v>
      </c>
      <c r="J55" s="143">
        <f>(Table24232567891011[HARGA JUAL]*Table24232567891011[TERJUAL])</f>
        <v>380000</v>
      </c>
      <c r="K55" s="143">
        <f>Table24232567891011[HARGA JUAL]*Table24232567891011[SISA]</f>
        <v>265000</v>
      </c>
      <c r="L55" s="144">
        <f>Table24232567891011[HARGA POKOK]*Table24232567891011[STOK]</f>
        <v>219300</v>
      </c>
      <c r="M55" s="144">
        <f>Table24232567891011[HARGA JUAL]*Table24232567891011[STOK]</f>
        <v>645000</v>
      </c>
      <c r="N55" s="145"/>
    </row>
    <row r="56" spans="1:14" x14ac:dyDescent="0.25">
      <c r="A56" s="137">
        <v>52</v>
      </c>
      <c r="B56" s="138" t="s">
        <v>32</v>
      </c>
      <c r="C56" s="138" t="s">
        <v>21</v>
      </c>
      <c r="D56" s="140">
        <v>30000</v>
      </c>
      <c r="E56" s="140">
        <v>45000</v>
      </c>
      <c r="F56" s="141">
        <v>9</v>
      </c>
      <c r="G56" s="142">
        <v>1</v>
      </c>
      <c r="H56" s="141">
        <f>(Table24232567891011[STOK])-(Table24232567891011[TERJUAL])</f>
        <v>8</v>
      </c>
      <c r="I56" s="143">
        <f>(Table24232567891011[HARGA JUAL]*Table24232567891011[TERJUAL])-(Table24232567891011[HARGA POKOK]*Table24232567891011[TERJUAL])</f>
        <v>15000</v>
      </c>
      <c r="J56" s="143">
        <f>(Table24232567891011[HARGA JUAL]*Table24232567891011[TERJUAL])</f>
        <v>45000</v>
      </c>
      <c r="K56" s="143">
        <f>Table24232567891011[HARGA JUAL]*Table24232567891011[SISA]</f>
        <v>360000</v>
      </c>
      <c r="L56" s="144">
        <f>Table24232567891011[HARGA POKOK]*Table24232567891011[STOK]</f>
        <v>270000</v>
      </c>
      <c r="M56" s="144">
        <f>Table24232567891011[HARGA JUAL]*Table24232567891011[STOK]</f>
        <v>405000</v>
      </c>
      <c r="N56" s="145"/>
    </row>
    <row r="57" spans="1:14" x14ac:dyDescent="0.25">
      <c r="A57" s="137">
        <v>53</v>
      </c>
      <c r="B57" s="138" t="s">
        <v>32</v>
      </c>
      <c r="C57" s="138" t="s">
        <v>20</v>
      </c>
      <c r="D57" s="140">
        <v>1500</v>
      </c>
      <c r="E57" s="140">
        <v>5000</v>
      </c>
      <c r="F57" s="141">
        <v>90</v>
      </c>
      <c r="G57" s="142">
        <v>6</v>
      </c>
      <c r="H57" s="141">
        <f>(Table24232567891011[STOK])-(Table24232567891011[TERJUAL])</f>
        <v>84</v>
      </c>
      <c r="I57" s="143">
        <f>(Table24232567891011[HARGA JUAL]*Table24232567891011[TERJUAL])-(Table24232567891011[HARGA POKOK]*Table24232567891011[TERJUAL])</f>
        <v>21000</v>
      </c>
      <c r="J57" s="143">
        <f>(Table24232567891011[HARGA JUAL]*Table24232567891011[TERJUAL])</f>
        <v>30000</v>
      </c>
      <c r="K57" s="143">
        <f>Table24232567891011[HARGA JUAL]*Table24232567891011[SISA]</f>
        <v>420000</v>
      </c>
      <c r="L57" s="144">
        <f>Table24232567891011[HARGA POKOK]*Table24232567891011[STOK]</f>
        <v>135000</v>
      </c>
      <c r="M57" s="144">
        <f>Table24232567891011[HARGA JUAL]*Table24232567891011[STOK]</f>
        <v>450000</v>
      </c>
      <c r="N57" s="145"/>
    </row>
    <row r="58" spans="1:14" x14ac:dyDescent="0.25">
      <c r="A58" s="137">
        <v>54</v>
      </c>
      <c r="B58" s="138" t="s">
        <v>32</v>
      </c>
      <c r="C58" s="138" t="s">
        <v>23</v>
      </c>
      <c r="D58" s="140">
        <v>30000</v>
      </c>
      <c r="E58" s="140">
        <v>40000</v>
      </c>
      <c r="F58" s="141">
        <v>10</v>
      </c>
      <c r="G58" s="142">
        <v>1</v>
      </c>
      <c r="H58" s="141">
        <f>(Table24232567891011[STOK])-(Table24232567891011[TERJUAL])</f>
        <v>9</v>
      </c>
      <c r="I58" s="143">
        <f>(Table24232567891011[HARGA JUAL]*Table24232567891011[TERJUAL])-(Table24232567891011[HARGA POKOK]*Table24232567891011[TERJUAL])</f>
        <v>10000</v>
      </c>
      <c r="J58" s="143">
        <f>(Table24232567891011[HARGA JUAL]*Table24232567891011[TERJUAL])</f>
        <v>40000</v>
      </c>
      <c r="K58" s="143">
        <f>Table24232567891011[HARGA JUAL]*Table24232567891011[SISA]</f>
        <v>360000</v>
      </c>
      <c r="L58" s="144">
        <f>Table24232567891011[HARGA POKOK]*Table24232567891011[STOK]</f>
        <v>300000</v>
      </c>
      <c r="M58" s="144">
        <f>Table24232567891011[HARGA JUAL]*Table24232567891011[STOK]</f>
        <v>400000</v>
      </c>
      <c r="N58" s="145"/>
    </row>
    <row r="59" spans="1:14" x14ac:dyDescent="0.25">
      <c r="A59" s="137">
        <v>55</v>
      </c>
      <c r="B59" s="138" t="s">
        <v>32</v>
      </c>
      <c r="C59" s="138" t="s">
        <v>19</v>
      </c>
      <c r="D59" s="140">
        <v>1600</v>
      </c>
      <c r="E59" s="140">
        <v>5000</v>
      </c>
      <c r="F59" s="141">
        <v>162</v>
      </c>
      <c r="G59" s="142">
        <v>7</v>
      </c>
      <c r="H59" s="141">
        <f>(Table24232567891011[STOK])-(Table24232567891011[TERJUAL])</f>
        <v>155</v>
      </c>
      <c r="I59" s="143">
        <f>(Table24232567891011[HARGA JUAL]*Table24232567891011[TERJUAL])-(Table24232567891011[HARGA POKOK]*Table24232567891011[TERJUAL])</f>
        <v>23800</v>
      </c>
      <c r="J59" s="143">
        <f>(Table24232567891011[HARGA JUAL]*Table24232567891011[TERJUAL])</f>
        <v>35000</v>
      </c>
      <c r="K59" s="143">
        <f>Table24232567891011[HARGA JUAL]*Table24232567891011[SISA]</f>
        <v>775000</v>
      </c>
      <c r="L59" s="144">
        <f>Table24232567891011[HARGA POKOK]*Table24232567891011[STOK]</f>
        <v>259200</v>
      </c>
      <c r="M59" s="144">
        <f>Table24232567891011[HARGA JUAL]*Table24232567891011[STOK]</f>
        <v>810000</v>
      </c>
      <c r="N59" s="145"/>
    </row>
    <row r="60" spans="1:14" x14ac:dyDescent="0.25">
      <c r="A60" s="137">
        <v>56</v>
      </c>
      <c r="B60" s="138" t="s">
        <v>32</v>
      </c>
      <c r="C60" s="138" t="s">
        <v>22</v>
      </c>
      <c r="D60" s="140">
        <v>30000</v>
      </c>
      <c r="E60" s="140">
        <v>40000</v>
      </c>
      <c r="F60" s="141">
        <v>10</v>
      </c>
      <c r="G60" s="142">
        <v>1</v>
      </c>
      <c r="H60" s="141">
        <f>(Table24232567891011[STOK])-(Table24232567891011[TERJUAL])</f>
        <v>9</v>
      </c>
      <c r="I60" s="143">
        <f>(Table24232567891011[HARGA JUAL]*Table24232567891011[TERJUAL])-(Table24232567891011[HARGA POKOK]*Table24232567891011[TERJUAL])</f>
        <v>10000</v>
      </c>
      <c r="J60" s="143">
        <f>(Table24232567891011[HARGA JUAL]*Table24232567891011[TERJUAL])</f>
        <v>40000</v>
      </c>
      <c r="K60" s="143">
        <f>Table24232567891011[HARGA JUAL]*Table24232567891011[SISA]</f>
        <v>360000</v>
      </c>
      <c r="L60" s="144">
        <f>Table24232567891011[HARGA POKOK]*Table24232567891011[STOK]</f>
        <v>300000</v>
      </c>
      <c r="M60" s="144">
        <f>Table24232567891011[HARGA JUAL]*Table24232567891011[STOK]</f>
        <v>400000</v>
      </c>
      <c r="N60" s="145"/>
    </row>
    <row r="61" spans="1:14" x14ac:dyDescent="0.25">
      <c r="A61" s="137">
        <v>57</v>
      </c>
      <c r="B61" s="138" t="s">
        <v>32</v>
      </c>
      <c r="C61" s="138" t="s">
        <v>24</v>
      </c>
      <c r="D61" s="140">
        <v>17500</v>
      </c>
      <c r="E61" s="140">
        <v>40000</v>
      </c>
      <c r="F61" s="141">
        <v>0</v>
      </c>
      <c r="G61" s="142"/>
      <c r="H61" s="141">
        <f>(Table24232567891011[STOK])-(Table24232567891011[TERJUAL])</f>
        <v>0</v>
      </c>
      <c r="I61" s="143">
        <f>(Table24232567891011[HARGA JUAL]*Table24232567891011[TERJUAL])-(Table24232567891011[HARGA POKOK]*Table24232567891011[TERJUAL])</f>
        <v>0</v>
      </c>
      <c r="J61" s="143">
        <f>(Table24232567891011[HARGA JUAL]*Table24232567891011[TERJUAL])</f>
        <v>0</v>
      </c>
      <c r="K61" s="143">
        <f>Table24232567891011[HARGA JUAL]*Table24232567891011[SISA]</f>
        <v>0</v>
      </c>
      <c r="L61" s="144">
        <f>Table24232567891011[HARGA POKOK]*Table24232567891011[STOK]</f>
        <v>0</v>
      </c>
      <c r="M61" s="144">
        <f>Table24232567891011[HARGA JUAL]*Table24232567891011[STOK]</f>
        <v>0</v>
      </c>
      <c r="N61" s="145"/>
    </row>
    <row r="62" spans="1:14" x14ac:dyDescent="0.25">
      <c r="A62" s="137">
        <v>58</v>
      </c>
      <c r="B62" s="138" t="s">
        <v>144</v>
      </c>
      <c r="C62" s="138" t="s">
        <v>145</v>
      </c>
      <c r="D62" s="140">
        <v>3000</v>
      </c>
      <c r="E62" s="140">
        <v>6000</v>
      </c>
      <c r="F62" s="141">
        <v>61</v>
      </c>
      <c r="G62" s="142">
        <v>8</v>
      </c>
      <c r="H62" s="141">
        <f>(Table24232567891011[STOK])-(Table24232567891011[TERJUAL])</f>
        <v>53</v>
      </c>
      <c r="I62" s="143">
        <f>(Table24232567891011[HARGA JUAL]*Table24232567891011[TERJUAL])-(Table24232567891011[HARGA POKOK]*Table24232567891011[TERJUAL])</f>
        <v>24000</v>
      </c>
      <c r="J62" s="143">
        <f>(Table24232567891011[HARGA JUAL]*Table24232567891011[TERJUAL])</f>
        <v>48000</v>
      </c>
      <c r="K62" s="143">
        <f>Table24232567891011[HARGA JUAL]*Table24232567891011[SISA]</f>
        <v>318000</v>
      </c>
      <c r="L62" s="144">
        <f>Table24232567891011[HARGA POKOK]*Table24232567891011[STOK]</f>
        <v>183000</v>
      </c>
      <c r="M62" s="144">
        <f>Table24232567891011[HARGA JUAL]*Table24232567891011[STOK]</f>
        <v>366000</v>
      </c>
      <c r="N62" s="145"/>
    </row>
    <row r="63" spans="1:14" x14ac:dyDescent="0.25">
      <c r="A63" s="137">
        <v>59</v>
      </c>
      <c r="B63" s="138" t="s">
        <v>33</v>
      </c>
      <c r="C63" s="138" t="s">
        <v>188</v>
      </c>
      <c r="D63" s="140">
        <v>325000</v>
      </c>
      <c r="E63" s="140">
        <v>475000</v>
      </c>
      <c r="F63" s="141">
        <v>228</v>
      </c>
      <c r="G63" s="142">
        <v>65</v>
      </c>
      <c r="H63" s="141">
        <f>(Table24232567891011[STOK])-(Table24232567891011[TERJUAL])</f>
        <v>163</v>
      </c>
      <c r="I63" s="143">
        <f>(Table24232567891011[HARGA JUAL]*Table24232567891011[TERJUAL])-(Table24232567891011[HARGA POKOK]*Table24232567891011[TERJUAL])</f>
        <v>9750000</v>
      </c>
      <c r="J63" s="143">
        <f>(Table24232567891011[HARGA JUAL]*Table24232567891011[TERJUAL])</f>
        <v>30875000</v>
      </c>
      <c r="K63" s="143">
        <f>Table24232567891011[HARGA JUAL]*Table24232567891011[SISA]</f>
        <v>77425000</v>
      </c>
      <c r="L63" s="144">
        <f>Table24232567891011[HARGA POKOK]*Table24232567891011[STOK]</f>
        <v>74100000</v>
      </c>
      <c r="M63" s="144">
        <f>Table24232567891011[HARGA JUAL]*Table24232567891011[STOK]</f>
        <v>108300000</v>
      </c>
      <c r="N63" s="145"/>
    </row>
    <row r="64" spans="1:14" x14ac:dyDescent="0.25">
      <c r="A64" s="137">
        <v>60</v>
      </c>
      <c r="B64" s="138" t="s">
        <v>33</v>
      </c>
      <c r="C64" s="138" t="s">
        <v>189</v>
      </c>
      <c r="D64" s="140">
        <v>452000</v>
      </c>
      <c r="E64" s="140">
        <v>560000</v>
      </c>
      <c r="F64" s="141">
        <v>8</v>
      </c>
      <c r="G64" s="142"/>
      <c r="H64" s="141">
        <f>(Table24232567891011[STOK])-(Table24232567891011[TERJUAL])</f>
        <v>8</v>
      </c>
      <c r="I64" s="143">
        <f>(Table24232567891011[HARGA JUAL]*Table24232567891011[TERJUAL])-(Table24232567891011[HARGA POKOK]*Table24232567891011[TERJUAL])</f>
        <v>0</v>
      </c>
      <c r="J64" s="143">
        <f>(Table24232567891011[HARGA JUAL]*Table24232567891011[TERJUAL])</f>
        <v>0</v>
      </c>
      <c r="K64" s="143">
        <f>Table24232567891011[HARGA JUAL]*Table24232567891011[SISA]</f>
        <v>4480000</v>
      </c>
      <c r="L64" s="144">
        <f>Table24232567891011[HARGA POKOK]*Table24232567891011[STOK]</f>
        <v>3616000</v>
      </c>
      <c r="M64" s="144">
        <f>Table24232567891011[HARGA JUAL]*Table24232567891011[STOK]</f>
        <v>4480000</v>
      </c>
      <c r="N64" s="145"/>
    </row>
    <row r="65" spans="1:14" x14ac:dyDescent="0.25">
      <c r="A65" s="137">
        <v>61</v>
      </c>
      <c r="B65" s="138" t="s">
        <v>192</v>
      </c>
      <c r="C65" s="138" t="s">
        <v>142</v>
      </c>
      <c r="D65" s="140">
        <v>310000</v>
      </c>
      <c r="E65" s="140">
        <v>435000</v>
      </c>
      <c r="F65" s="141">
        <v>2</v>
      </c>
      <c r="G65" s="142"/>
      <c r="H65" s="141">
        <f>(Table24232567891011[STOK])-(Table24232567891011[TERJUAL])</f>
        <v>2</v>
      </c>
      <c r="I65" s="143">
        <f>(Table24232567891011[HARGA JUAL]*Table24232567891011[TERJUAL])-(Table24232567891011[HARGA POKOK]*Table24232567891011[TERJUAL])</f>
        <v>0</v>
      </c>
      <c r="J65" s="143">
        <f>(Table24232567891011[HARGA JUAL]*Table24232567891011[TERJUAL])</f>
        <v>0</v>
      </c>
      <c r="K65" s="143">
        <f>Table24232567891011[HARGA JUAL]*Table24232567891011[SISA]</f>
        <v>870000</v>
      </c>
      <c r="L65" s="144">
        <f>Table24232567891011[HARGA POKOK]*Table24232567891011[STOK]</f>
        <v>620000</v>
      </c>
      <c r="M65" s="144">
        <f>Table24232567891011[HARGA JUAL]*Table24232567891011[STOK]</f>
        <v>870000</v>
      </c>
      <c r="N65" s="145"/>
    </row>
    <row r="66" spans="1:14" x14ac:dyDescent="0.25">
      <c r="A66" s="137">
        <v>62</v>
      </c>
      <c r="B66" s="138" t="s">
        <v>192</v>
      </c>
      <c r="C66" s="138" t="s">
        <v>190</v>
      </c>
      <c r="D66" s="140">
        <v>280000</v>
      </c>
      <c r="E66" s="140">
        <v>475000</v>
      </c>
      <c r="F66" s="141">
        <v>0</v>
      </c>
      <c r="G66" s="142"/>
      <c r="H66" s="141">
        <f>(Table24232567891011[STOK])-(Table24232567891011[TERJUAL])</f>
        <v>0</v>
      </c>
      <c r="I66" s="143">
        <f>(Table24232567891011[HARGA JUAL]*Table24232567891011[TERJUAL])-(Table24232567891011[HARGA POKOK]*Table24232567891011[TERJUAL])</f>
        <v>0</v>
      </c>
      <c r="J66" s="143">
        <f>(Table24232567891011[HARGA JUAL]*Table24232567891011[TERJUAL])</f>
        <v>0</v>
      </c>
      <c r="K66" s="143">
        <f>Table24232567891011[HARGA JUAL]*Table24232567891011[SISA]</f>
        <v>0</v>
      </c>
      <c r="L66" s="144">
        <f>Table24232567891011[HARGA POKOK]*Table24232567891011[STOK]</f>
        <v>0</v>
      </c>
      <c r="M66" s="144">
        <f>Table24232567891011[HARGA JUAL]*Table24232567891011[STOK]</f>
        <v>0</v>
      </c>
      <c r="N66" s="145"/>
    </row>
    <row r="67" spans="1:14" x14ac:dyDescent="0.25">
      <c r="A67" s="137">
        <v>63</v>
      </c>
      <c r="B67" s="138" t="s">
        <v>193</v>
      </c>
      <c r="C67" s="138" t="s">
        <v>191</v>
      </c>
      <c r="D67" s="140">
        <v>8800</v>
      </c>
      <c r="E67" s="140">
        <v>15000</v>
      </c>
      <c r="F67" s="141">
        <v>48</v>
      </c>
      <c r="G67" s="142">
        <v>11</v>
      </c>
      <c r="H67" s="141">
        <f>(Table24232567891011[STOK])-(Table24232567891011[TERJUAL])</f>
        <v>37</v>
      </c>
      <c r="I67" s="143">
        <f>(Table24232567891011[HARGA JUAL]*Table24232567891011[TERJUAL])-(Table24232567891011[HARGA POKOK]*Table24232567891011[TERJUAL])</f>
        <v>68200</v>
      </c>
      <c r="J67" s="143">
        <f>(Table24232567891011[HARGA JUAL]*Table24232567891011[TERJUAL])</f>
        <v>165000</v>
      </c>
      <c r="K67" s="143">
        <f>Table24232567891011[HARGA JUAL]*Table24232567891011[SISA]</f>
        <v>555000</v>
      </c>
      <c r="L67" s="144">
        <f>Table24232567891011[HARGA POKOK]*Table24232567891011[STOK]</f>
        <v>422400</v>
      </c>
      <c r="M67" s="144">
        <f>Table24232567891011[HARGA JUAL]*Table24232567891011[STOK]</f>
        <v>720000</v>
      </c>
      <c r="N67" s="145" t="s">
        <v>242</v>
      </c>
    </row>
    <row r="68" spans="1:14" x14ac:dyDescent="0.25">
      <c r="A68" s="137">
        <v>64</v>
      </c>
      <c r="B68" s="138" t="s">
        <v>193</v>
      </c>
      <c r="C68" s="138" t="s">
        <v>214</v>
      </c>
      <c r="D68" s="140">
        <v>8700</v>
      </c>
      <c r="E68" s="140">
        <v>15000</v>
      </c>
      <c r="F68" s="141">
        <v>44</v>
      </c>
      <c r="G68" s="142">
        <v>24</v>
      </c>
      <c r="H68" s="141">
        <f>(Table24232567891011[STOK])-(Table24232567891011[TERJUAL])</f>
        <v>20</v>
      </c>
      <c r="I68" s="143">
        <f>(Table24232567891011[HARGA JUAL]*Table24232567891011[TERJUAL])-(Table24232567891011[HARGA POKOK]*Table24232567891011[TERJUAL])</f>
        <v>151200</v>
      </c>
      <c r="J68" s="143">
        <f>(Table24232567891011[HARGA JUAL]*Table24232567891011[TERJUAL])</f>
        <v>360000</v>
      </c>
      <c r="K68" s="143">
        <f>Table24232567891011[HARGA JUAL]*Table24232567891011[SISA]</f>
        <v>300000</v>
      </c>
      <c r="L68" s="144">
        <f>Table24232567891011[HARGA POKOK]*Table24232567891011[STOK]</f>
        <v>382800</v>
      </c>
      <c r="M68" s="144">
        <f>Table24232567891011[HARGA JUAL]*Table24232567891011[STOK]</f>
        <v>660000</v>
      </c>
      <c r="N68" s="145" t="s">
        <v>242</v>
      </c>
    </row>
    <row r="69" spans="1:14" x14ac:dyDescent="0.25">
      <c r="A69" s="137">
        <v>65</v>
      </c>
      <c r="B69" s="138" t="s">
        <v>206</v>
      </c>
      <c r="C69" s="138" t="s">
        <v>207</v>
      </c>
      <c r="D69" s="140">
        <v>12000</v>
      </c>
      <c r="E69" s="140">
        <v>28000</v>
      </c>
      <c r="F69" s="141">
        <v>3</v>
      </c>
      <c r="G69" s="142"/>
      <c r="H69" s="141">
        <f>(Table24232567891011[STOK])-(Table24232567891011[TERJUAL])</f>
        <v>3</v>
      </c>
      <c r="I69" s="143">
        <f>(Table24232567891011[HARGA JUAL]*Table24232567891011[TERJUAL])-(Table24232567891011[HARGA POKOK]*Table24232567891011[TERJUAL])</f>
        <v>0</v>
      </c>
      <c r="J69" s="143">
        <f>(Table24232567891011[HARGA JUAL]*Table24232567891011[TERJUAL])</f>
        <v>0</v>
      </c>
      <c r="K69" s="143">
        <f>Table24232567891011[HARGA JUAL]*Table24232567891011[SISA]</f>
        <v>84000</v>
      </c>
      <c r="L69" s="144">
        <f>Table24232567891011[HARGA POKOK]*Table24232567891011[STOK]</f>
        <v>36000</v>
      </c>
      <c r="M69" s="144">
        <f>Table24232567891011[HARGA JUAL]*Table24232567891011[STOK]</f>
        <v>84000</v>
      </c>
      <c r="N69" s="145"/>
    </row>
    <row r="70" spans="1:14" x14ac:dyDescent="0.25">
      <c r="A70" s="137">
        <v>66</v>
      </c>
      <c r="B70" s="138" t="s">
        <v>206</v>
      </c>
      <c r="C70" s="138" t="s">
        <v>208</v>
      </c>
      <c r="D70" s="140">
        <v>21000</v>
      </c>
      <c r="E70" s="140">
        <v>45000</v>
      </c>
      <c r="F70" s="141">
        <v>7</v>
      </c>
      <c r="G70" s="142">
        <v>1</v>
      </c>
      <c r="H70" s="141">
        <f>(Table24232567891011[STOK])-(Table24232567891011[TERJUAL])</f>
        <v>6</v>
      </c>
      <c r="I70" s="143">
        <f>(Table24232567891011[HARGA JUAL]*Table24232567891011[TERJUAL])-(Table24232567891011[HARGA POKOK]*Table24232567891011[TERJUAL])</f>
        <v>24000</v>
      </c>
      <c r="J70" s="143">
        <f>(Table24232567891011[HARGA JUAL]*Table24232567891011[TERJUAL])</f>
        <v>45000</v>
      </c>
      <c r="K70" s="143">
        <f>Table24232567891011[HARGA JUAL]*Table24232567891011[SISA]</f>
        <v>270000</v>
      </c>
      <c r="L70" s="144">
        <f>Table24232567891011[HARGA POKOK]*Table24232567891011[STOK]</f>
        <v>147000</v>
      </c>
      <c r="M70" s="144">
        <f>Table24232567891011[HARGA JUAL]*Table24232567891011[STOK]</f>
        <v>315000</v>
      </c>
      <c r="N70" s="145"/>
    </row>
    <row r="71" spans="1:14" x14ac:dyDescent="0.25">
      <c r="A71" s="137">
        <v>67</v>
      </c>
      <c r="B71" s="138" t="s">
        <v>209</v>
      </c>
      <c r="C71" s="138" t="s">
        <v>210</v>
      </c>
      <c r="D71" s="140">
        <v>20000</v>
      </c>
      <c r="E71" s="140">
        <v>40000</v>
      </c>
      <c r="F71" s="141">
        <v>10</v>
      </c>
      <c r="G71" s="142"/>
      <c r="H71" s="141">
        <f>(Table24232567891011[STOK])-(Table24232567891011[TERJUAL])</f>
        <v>10</v>
      </c>
      <c r="I71" s="143">
        <f>(Table24232567891011[HARGA JUAL]*Table24232567891011[TERJUAL])-(Table24232567891011[HARGA POKOK]*Table24232567891011[TERJUAL])</f>
        <v>0</v>
      </c>
      <c r="J71" s="143">
        <f>(Table24232567891011[HARGA JUAL]*Table24232567891011[TERJUAL])</f>
        <v>0</v>
      </c>
      <c r="K71" s="143">
        <f>Table24232567891011[HARGA JUAL]*Table24232567891011[SISA]</f>
        <v>400000</v>
      </c>
      <c r="L71" s="144">
        <f>Table24232567891011[HARGA POKOK]*Table24232567891011[STOK]</f>
        <v>200000</v>
      </c>
      <c r="M71" s="144">
        <f>Table24232567891011[HARGA JUAL]*Table24232567891011[STOK]</f>
        <v>400000</v>
      </c>
      <c r="N71" s="145"/>
    </row>
    <row r="72" spans="1:14" x14ac:dyDescent="0.25">
      <c r="A72" s="137">
        <v>68</v>
      </c>
      <c r="B72" s="138" t="s">
        <v>209</v>
      </c>
      <c r="C72" s="138" t="s">
        <v>211</v>
      </c>
      <c r="D72" s="140">
        <v>26000</v>
      </c>
      <c r="E72" s="140">
        <v>45000</v>
      </c>
      <c r="F72" s="141">
        <v>10</v>
      </c>
      <c r="G72" s="142"/>
      <c r="H72" s="141">
        <f>(Table24232567891011[STOK])-(Table24232567891011[TERJUAL])</f>
        <v>10</v>
      </c>
      <c r="I72" s="143">
        <f>(Table24232567891011[HARGA JUAL]*Table24232567891011[TERJUAL])-(Table24232567891011[HARGA POKOK]*Table24232567891011[TERJUAL])</f>
        <v>0</v>
      </c>
      <c r="J72" s="143">
        <f>(Table24232567891011[HARGA JUAL]*Table24232567891011[TERJUAL])</f>
        <v>0</v>
      </c>
      <c r="K72" s="143">
        <f>Table24232567891011[HARGA JUAL]*Table24232567891011[SISA]</f>
        <v>450000</v>
      </c>
      <c r="L72" s="144">
        <f>Table24232567891011[HARGA POKOK]*Table24232567891011[STOK]</f>
        <v>260000</v>
      </c>
      <c r="M72" s="144">
        <f>Table24232567891011[HARGA JUAL]*Table24232567891011[STOK]</f>
        <v>450000</v>
      </c>
      <c r="N72" s="145"/>
    </row>
    <row r="73" spans="1:14" x14ac:dyDescent="0.25">
      <c r="A73" s="137">
        <v>69</v>
      </c>
      <c r="B73" s="138" t="s">
        <v>212</v>
      </c>
      <c r="C73" s="138" t="s">
        <v>213</v>
      </c>
      <c r="D73" s="140">
        <v>600000</v>
      </c>
      <c r="E73" s="140">
        <v>800000</v>
      </c>
      <c r="F73" s="141">
        <v>3</v>
      </c>
      <c r="G73" s="142"/>
      <c r="H73" s="141">
        <f>(Table24232567891011[STOK])-(Table24232567891011[TERJUAL])</f>
        <v>3</v>
      </c>
      <c r="I73" s="143">
        <f>(Table24232567891011[HARGA JUAL]*Table24232567891011[TERJUAL])-(Table24232567891011[HARGA POKOK]*Table24232567891011[TERJUAL])</f>
        <v>0</v>
      </c>
      <c r="J73" s="143">
        <f>(Table24232567891011[HARGA JUAL]*Table24232567891011[TERJUAL])</f>
        <v>0</v>
      </c>
      <c r="K73" s="143">
        <f>Table24232567891011[HARGA JUAL]*Table24232567891011[SISA]</f>
        <v>2400000</v>
      </c>
      <c r="L73" s="144">
        <f>Table24232567891011[HARGA POKOK]*Table24232567891011[STOK]</f>
        <v>1800000</v>
      </c>
      <c r="M73" s="144">
        <f>Table24232567891011[HARGA JUAL]*Table24232567891011[STOK]</f>
        <v>2400000</v>
      </c>
      <c r="N73" s="145"/>
    </row>
    <row r="74" spans="1:14" x14ac:dyDescent="0.25">
      <c r="A74" s="192">
        <v>70</v>
      </c>
      <c r="B74" s="193" t="s">
        <v>194</v>
      </c>
      <c r="C74" s="193" t="s">
        <v>194</v>
      </c>
      <c r="D74" s="194">
        <v>30000</v>
      </c>
      <c r="E74" s="194">
        <v>40000</v>
      </c>
      <c r="F74" s="195">
        <v>0</v>
      </c>
      <c r="G74" s="196"/>
      <c r="H74" s="195">
        <f>(Table24232567891011[STOK])-(Table24232567891011[TERJUAL])</f>
        <v>0</v>
      </c>
      <c r="I74" s="197">
        <f>(Table24232567891011[HARGA JUAL]*Table24232567891011[TERJUAL])-(Table24232567891011[HARGA POKOK]*Table24232567891011[TERJUAL])</f>
        <v>0</v>
      </c>
      <c r="J74" s="197">
        <f>(Table24232567891011[HARGA JUAL]*Table24232567891011[TERJUAL])</f>
        <v>0</v>
      </c>
      <c r="K74" s="197"/>
      <c r="L74" s="198"/>
      <c r="M74" s="198"/>
      <c r="N74" s="199"/>
    </row>
    <row r="75" spans="1:14" x14ac:dyDescent="0.25">
      <c r="A75" s="137">
        <v>71</v>
      </c>
      <c r="B75" s="146" t="s">
        <v>195</v>
      </c>
      <c r="C75" s="146" t="s">
        <v>195</v>
      </c>
      <c r="D75" s="147">
        <v>30000</v>
      </c>
      <c r="E75" s="147">
        <v>40000</v>
      </c>
      <c r="F75" s="148">
        <v>0</v>
      </c>
      <c r="G75" s="149"/>
      <c r="H75" s="148">
        <f>(Table24232567891011[STOK])-(Table24232567891011[TERJUAL])</f>
        <v>0</v>
      </c>
      <c r="I75" s="150">
        <f>(Table24232567891011[HARGA JUAL]*Table24232567891011[TERJUAL])-(Table24232567891011[HARGA POKOK]*Table24232567891011[TERJUAL])</f>
        <v>0</v>
      </c>
      <c r="J75" s="150">
        <f>(Table24232567891011[HARGA JUAL]*Table24232567891011[TERJUAL])</f>
        <v>0</v>
      </c>
      <c r="K75" s="150">
        <f>Table24232567891011[HARGA JUAL]*Table24232567891011[SISA]</f>
        <v>0</v>
      </c>
      <c r="L75" s="151">
        <f>Table24232567891011[HARGA POKOK]*Table24232567891011[STOK]</f>
        <v>0</v>
      </c>
      <c r="M75" s="151">
        <f>Table24232567891011[HARGA JUAL]*Table24232567891011[STOK]</f>
        <v>0</v>
      </c>
      <c r="N75" s="152"/>
    </row>
    <row r="76" spans="1:14" x14ac:dyDescent="0.25">
      <c r="A76" s="192">
        <v>72</v>
      </c>
      <c r="B76" s="193" t="s">
        <v>215</v>
      </c>
      <c r="C76" s="193" t="s">
        <v>215</v>
      </c>
      <c r="D76" s="194">
        <v>310000</v>
      </c>
      <c r="E76" s="194">
        <v>410000</v>
      </c>
      <c r="F76" s="195">
        <v>0</v>
      </c>
      <c r="G76" s="196"/>
      <c r="H76" s="195">
        <f>(Table24232567891011[STOK])-(Table24232567891011[TERJUAL])</f>
        <v>0</v>
      </c>
      <c r="I76" s="197">
        <f>(Table24232567891011[HARGA JUAL]*Table24232567891011[TERJUAL])-(Table24232567891011[HARGA POKOK]*Table24232567891011[TERJUAL])</f>
        <v>0</v>
      </c>
      <c r="J76" s="197">
        <f>(Table24232567891011[HARGA JUAL]*Table24232567891011[TERJUAL])</f>
        <v>0</v>
      </c>
      <c r="K76" s="197">
        <f>Table24232567891011[HARGA JUAL]*Table24232567891011[SISA]</f>
        <v>0</v>
      </c>
      <c r="L76" s="198">
        <f>Table24232567891011[HARGA POKOK]*Table24232567891011[STOK]</f>
        <v>0</v>
      </c>
      <c r="M76" s="198">
        <f>Table24232567891011[HARGA JUAL]*Table24232567891011[STOK]</f>
        <v>0</v>
      </c>
      <c r="N76" s="199"/>
    </row>
    <row r="77" spans="1:14" s="180" customFormat="1" x14ac:dyDescent="0.25">
      <c r="A77" s="137">
        <v>73</v>
      </c>
      <c r="B77" s="153" t="s">
        <v>212</v>
      </c>
      <c r="C77" s="153" t="s">
        <v>213</v>
      </c>
      <c r="D77" s="154">
        <v>6000</v>
      </c>
      <c r="E77" s="154">
        <v>8000</v>
      </c>
      <c r="F77" s="155"/>
      <c r="G77" s="178">
        <v>10</v>
      </c>
      <c r="H77" s="155">
        <f>(Table24232567891011[STOK])-(Table24232567891011[TERJUAL])</f>
        <v>-10</v>
      </c>
      <c r="I77" s="157">
        <f>(Table24232567891011[HARGA JUAL]*Table24232567891011[TERJUAL])-(Table24232567891011[HARGA POKOK]*Table24232567891011[TERJUAL])</f>
        <v>20000</v>
      </c>
      <c r="J77" s="157">
        <f>(Table24232567891011[HARGA JUAL]*Table24232567891011[TERJUAL])</f>
        <v>80000</v>
      </c>
      <c r="K77" s="157"/>
      <c r="L77" s="158"/>
      <c r="M77" s="158"/>
      <c r="N77" s="179"/>
    </row>
    <row r="78" spans="1:14" s="180" customFormat="1" x14ac:dyDescent="0.25">
      <c r="A78" s="137">
        <v>74</v>
      </c>
      <c r="B78" s="153" t="s">
        <v>71</v>
      </c>
      <c r="C78" s="153" t="s">
        <v>194</v>
      </c>
      <c r="D78" s="154">
        <v>1200</v>
      </c>
      <c r="E78" s="154">
        <v>2000</v>
      </c>
      <c r="F78" s="155"/>
      <c r="G78" s="156"/>
      <c r="H78" s="155">
        <f>(Table24232567891011[STOK])-(Table24232567891011[TERJUAL])</f>
        <v>0</v>
      </c>
      <c r="I78" s="157">
        <f>(Table24232567891011[HARGA JUAL]*Table24232567891011[TERJUAL])-(Table24232567891011[HARGA POKOK]*Table24232567891011[TERJUAL])</f>
        <v>0</v>
      </c>
      <c r="J78" s="157">
        <f>(Table24232567891011[HARGA JUAL]*Table24232567891011[TERJUAL])</f>
        <v>0</v>
      </c>
      <c r="K78" s="157"/>
      <c r="L78" s="158"/>
      <c r="M78" s="158"/>
      <c r="N78" s="179"/>
    </row>
    <row r="79" spans="1:14" s="180" customFormat="1" x14ac:dyDescent="0.25">
      <c r="A79" s="137">
        <v>75</v>
      </c>
      <c r="B79" s="153" t="s">
        <v>71</v>
      </c>
      <c r="C79" s="153" t="s">
        <v>195</v>
      </c>
      <c r="D79" s="154">
        <v>700</v>
      </c>
      <c r="E79" s="154">
        <v>1200</v>
      </c>
      <c r="F79" s="155"/>
      <c r="G79" s="156">
        <v>4</v>
      </c>
      <c r="H79" s="155">
        <f>(Table24232567891011[STOK])-(Table24232567891011[TERJUAL])</f>
        <v>-4</v>
      </c>
      <c r="I79" s="157">
        <f>(Table24232567891011[HARGA JUAL]*Table24232567891011[TERJUAL])-(Table24232567891011[HARGA POKOK]*Table24232567891011[TERJUAL])</f>
        <v>2000</v>
      </c>
      <c r="J79" s="157">
        <f>(Table24232567891011[HARGA JUAL]*Table24232567891011[TERJUAL])</f>
        <v>4800</v>
      </c>
      <c r="K79" s="157"/>
      <c r="L79" s="158"/>
      <c r="M79" s="158"/>
      <c r="N79" s="179"/>
    </row>
    <row r="80" spans="1:14" s="180" customFormat="1" x14ac:dyDescent="0.25">
      <c r="A80" s="137">
        <v>76</v>
      </c>
      <c r="B80" s="153" t="s">
        <v>68</v>
      </c>
      <c r="C80" s="153" t="s">
        <v>69</v>
      </c>
      <c r="D80" s="159">
        <v>6300</v>
      </c>
      <c r="E80" s="154">
        <v>10000</v>
      </c>
      <c r="F80" s="155"/>
      <c r="G80" s="156">
        <v>1758</v>
      </c>
      <c r="H80" s="155">
        <f>(Table24232567891011[STOK])-(Table24232567891011[TERJUAL])</f>
        <v>-1758</v>
      </c>
      <c r="I80" s="157">
        <f>(Table24232567891011[HARGA JUAL]*Table24232567891011[TERJUAL])-(Table24232567891011[HARGA POKOK]*Table24232567891011[TERJUAL])</f>
        <v>6504600</v>
      </c>
      <c r="J80" s="157">
        <f>(Table24232567891011[HARGA JUAL]*Table24232567891011[TERJUAL])</f>
        <v>17580000</v>
      </c>
      <c r="K80" s="157"/>
      <c r="L80" s="158"/>
      <c r="M80" s="158"/>
      <c r="N80" s="179"/>
    </row>
    <row r="81" spans="1:14" s="180" customFormat="1" x14ac:dyDescent="0.25">
      <c r="A81" s="137">
        <v>77</v>
      </c>
      <c r="B81" s="153" t="s">
        <v>173</v>
      </c>
      <c r="C81" s="153" t="s">
        <v>174</v>
      </c>
      <c r="D81" s="159">
        <v>9040</v>
      </c>
      <c r="E81" s="154">
        <v>12000</v>
      </c>
      <c r="F81" s="155"/>
      <c r="G81" s="156">
        <v>11</v>
      </c>
      <c r="H81" s="155">
        <f>(Table24232567891011[STOK])-(Table24232567891011[TERJUAL])</f>
        <v>-11</v>
      </c>
      <c r="I81" s="157">
        <f>(Table24232567891011[HARGA JUAL]*Table24232567891011[TERJUAL])-(Table24232567891011[HARGA POKOK]*Table24232567891011[TERJUAL])</f>
        <v>32560</v>
      </c>
      <c r="J81" s="157">
        <f>(Table24232567891011[HARGA JUAL]*Table24232567891011[TERJUAL])</f>
        <v>132000</v>
      </c>
      <c r="K81" s="157"/>
      <c r="L81" s="158"/>
      <c r="M81" s="158"/>
      <c r="N81" s="179"/>
    </row>
    <row r="82" spans="1:14" s="180" customFormat="1" x14ac:dyDescent="0.25">
      <c r="A82" s="137">
        <v>78</v>
      </c>
      <c r="B82" s="153" t="s">
        <v>146</v>
      </c>
      <c r="C82" s="153" t="s">
        <v>152</v>
      </c>
      <c r="D82" s="159">
        <v>6200</v>
      </c>
      <c r="E82" s="154">
        <v>10000</v>
      </c>
      <c r="F82" s="155"/>
      <c r="G82" s="160" t="s">
        <v>252</v>
      </c>
      <c r="H82" s="155">
        <f>(Table24232567891011[STOK])-(Table24232567891011[TERJUAL])</f>
        <v>-5</v>
      </c>
      <c r="I82" s="157">
        <f>(Table24232567891011[HARGA JUAL]*Table24232567891011[TERJUAL])-(Table24232567891011[HARGA POKOK]*Table24232567891011[TERJUAL])</f>
        <v>19000</v>
      </c>
      <c r="J82" s="157">
        <f>(Table24232567891011[HARGA JUAL]*Table24232567891011[TERJUAL])</f>
        <v>50000</v>
      </c>
      <c r="K82" s="157"/>
      <c r="L82" s="158"/>
      <c r="M82" s="158"/>
      <c r="N82" s="179"/>
    </row>
    <row r="83" spans="1:14" s="180" customFormat="1" x14ac:dyDescent="0.25">
      <c r="A83" s="137">
        <v>79</v>
      </c>
      <c r="B83" s="153" t="s">
        <v>147</v>
      </c>
      <c r="C83" s="153" t="s">
        <v>153</v>
      </c>
      <c r="D83" s="159">
        <v>5600</v>
      </c>
      <c r="E83" s="154">
        <v>10000</v>
      </c>
      <c r="F83" s="155"/>
      <c r="G83" s="160"/>
      <c r="H83" s="155">
        <f>(Table24232567891011[STOK])-(Table24232567891011[TERJUAL])</f>
        <v>0</v>
      </c>
      <c r="I83" s="157">
        <f>(Table24232567891011[HARGA JUAL]*Table24232567891011[TERJUAL])-(Table24232567891011[HARGA POKOK]*Table24232567891011[TERJUAL])</f>
        <v>0</v>
      </c>
      <c r="J83" s="157">
        <f>(Table24232567891011[HARGA JUAL]*Table24232567891011[TERJUAL])</f>
        <v>0</v>
      </c>
      <c r="K83" s="157"/>
      <c r="L83" s="158"/>
      <c r="M83" s="158"/>
      <c r="N83" s="179"/>
    </row>
    <row r="84" spans="1:14" s="180" customFormat="1" x14ac:dyDescent="0.25">
      <c r="A84" s="137">
        <v>80</v>
      </c>
      <c r="B84" s="167" t="s">
        <v>204</v>
      </c>
      <c r="C84" s="167" t="s">
        <v>205</v>
      </c>
      <c r="D84" s="168">
        <v>13000</v>
      </c>
      <c r="E84" s="169">
        <v>15000</v>
      </c>
      <c r="F84" s="170"/>
      <c r="G84" s="171"/>
      <c r="H84" s="172">
        <f>(Table24232567891011[STOK])-(Table24232567891011[TERJUAL])</f>
        <v>0</v>
      </c>
      <c r="I84" s="173">
        <f>(Table24232567891011[HARGA JUAL]*Table24232567891011[TERJUAL])-(Table24232567891011[HARGA POKOK]*Table24232567891011[TERJUAL])</f>
        <v>0</v>
      </c>
      <c r="J84" s="173">
        <f>(Table24232567891011[HARGA JUAL]*Table24232567891011[TERJUAL])</f>
        <v>0</v>
      </c>
      <c r="K84" s="173"/>
      <c r="L84" s="174"/>
      <c r="M84" s="174"/>
      <c r="N84" s="181"/>
    </row>
    <row r="85" spans="1:14" ht="18.75" x14ac:dyDescent="0.25">
      <c r="A85" s="404" t="s">
        <v>8</v>
      </c>
      <c r="B85" s="404"/>
      <c r="C85" s="404"/>
      <c r="D85" s="404"/>
      <c r="E85" s="404"/>
      <c r="F85" s="39"/>
      <c r="G85" s="39"/>
      <c r="H85" s="40"/>
      <c r="I85" s="175">
        <f>SUM(I5:I84)</f>
        <v>21645660</v>
      </c>
      <c r="J85" s="176">
        <f>SUM(J5:J84)</f>
        <v>69880800</v>
      </c>
      <c r="K85" s="41">
        <f>SUBTOTAL(109,Table24232567891011[TOTAL HARGA SISA BARANG])</f>
        <v>212522000</v>
      </c>
      <c r="L85" s="177">
        <f>SUM(L5:L84)</f>
        <v>191166700</v>
      </c>
      <c r="M85" s="42">
        <f>SUM(M5:M67)</f>
        <v>260247000</v>
      </c>
      <c r="N85" s="145"/>
    </row>
    <row r="86" spans="1:14" x14ac:dyDescent="0.25">
      <c r="B86" s="1"/>
      <c r="C86" s="3"/>
      <c r="G86" s="1"/>
      <c r="H86" s="11"/>
      <c r="I86" s="6"/>
      <c r="J86" s="6"/>
      <c r="K86" s="6"/>
      <c r="L86" s="1"/>
      <c r="M86" s="1"/>
    </row>
    <row r="87" spans="1:14" x14ac:dyDescent="0.25">
      <c r="A87" s="165" t="s">
        <v>241</v>
      </c>
      <c r="B87" s="28"/>
      <c r="C87" s="28"/>
      <c r="E87" s="386" t="s">
        <v>219</v>
      </c>
      <c r="F87" s="386"/>
      <c r="G87" s="386"/>
      <c r="H87" s="386"/>
      <c r="I87" s="386"/>
      <c r="J87" s="386"/>
      <c r="K87" s="216"/>
      <c r="L87" s="1"/>
      <c r="M87" s="1"/>
    </row>
    <row r="88" spans="1:14" x14ac:dyDescent="0.25">
      <c r="A88" s="165" t="s">
        <v>198</v>
      </c>
      <c r="B88" s="28"/>
      <c r="C88" s="28"/>
      <c r="E88" s="161"/>
      <c r="F88" s="161"/>
      <c r="G88" s="387"/>
      <c r="H88" s="387"/>
      <c r="I88" s="28"/>
      <c r="J88" s="28"/>
      <c r="K88" s="28"/>
      <c r="L88" s="7"/>
    </row>
    <row r="89" spans="1:14" x14ac:dyDescent="0.25">
      <c r="A89" s="165" t="s">
        <v>199</v>
      </c>
      <c r="B89" s="1"/>
      <c r="C89" s="3"/>
      <c r="E89" s="161"/>
      <c r="F89" s="161"/>
      <c r="G89" s="94"/>
      <c r="H89" s="94"/>
      <c r="I89" s="28"/>
      <c r="J89" s="28"/>
      <c r="K89" s="28"/>
      <c r="L89" s="28"/>
    </row>
    <row r="90" spans="1:14" x14ac:dyDescent="0.25">
      <c r="A90" s="165" t="s">
        <v>200</v>
      </c>
      <c r="E90" s="43" t="s">
        <v>82</v>
      </c>
      <c r="F90" s="44"/>
      <c r="G90" s="390">
        <f>SUBTOTAL(109,Table24232567891011[TOTAL H. B. LAKU TERJUAL])</f>
        <v>69880800</v>
      </c>
      <c r="H90" s="390"/>
      <c r="I90" s="390"/>
      <c r="J90" s="43"/>
      <c r="K90" s="7"/>
      <c r="L90" s="27"/>
      <c r="M90" s="1"/>
    </row>
    <row r="91" spans="1:14" x14ac:dyDescent="0.25">
      <c r="E91" s="43"/>
      <c r="F91" s="44"/>
      <c r="G91" s="217"/>
      <c r="H91" s="217"/>
      <c r="I91" s="217"/>
      <c r="J91" s="43"/>
      <c r="K91" s="7"/>
      <c r="L91" s="27"/>
      <c r="M91" s="1"/>
    </row>
    <row r="92" spans="1:14" x14ac:dyDescent="0.25">
      <c r="A92" s="233" t="s">
        <v>0</v>
      </c>
      <c r="B92" s="233" t="s">
        <v>254</v>
      </c>
      <c r="C92" s="233" t="s">
        <v>255</v>
      </c>
      <c r="E92" s="43" t="s">
        <v>83</v>
      </c>
      <c r="F92" s="45" t="s">
        <v>84</v>
      </c>
      <c r="G92" s="391">
        <v>1813000</v>
      </c>
      <c r="H92" s="391"/>
      <c r="I92" s="391"/>
      <c r="J92" s="43"/>
      <c r="K92" s="7"/>
      <c r="L92" s="27"/>
      <c r="M92" s="1"/>
    </row>
    <row r="93" spans="1:14" x14ac:dyDescent="0.25">
      <c r="A93" s="228">
        <v>1</v>
      </c>
      <c r="B93" s="225" t="s">
        <v>256</v>
      </c>
      <c r="C93" s="226" t="s">
        <v>257</v>
      </c>
      <c r="E93" s="43" t="s">
        <v>8</v>
      </c>
      <c r="F93" s="43"/>
      <c r="G93" s="392">
        <f>(G90-G92)</f>
        <v>68067800</v>
      </c>
      <c r="H93" s="392"/>
      <c r="I93" s="392"/>
      <c r="J93" s="43"/>
      <c r="K93" s="7"/>
      <c r="L93" s="27"/>
      <c r="M93" s="1"/>
    </row>
    <row r="94" spans="1:14" x14ac:dyDescent="0.25">
      <c r="M94" s="1"/>
    </row>
    <row r="95" spans="1:14" ht="18.75" x14ac:dyDescent="0.3">
      <c r="A95" s="360" t="s">
        <v>99</v>
      </c>
      <c r="B95" s="360"/>
      <c r="C95" s="360"/>
      <c r="D95" s="360"/>
    </row>
    <row r="96" spans="1:14" ht="18.75" x14ac:dyDescent="0.3">
      <c r="A96" s="360" t="s">
        <v>262</v>
      </c>
      <c r="B96" s="360"/>
      <c r="C96" s="360"/>
      <c r="D96" s="360"/>
    </row>
    <row r="97" spans="1:12" ht="18.75" x14ac:dyDescent="0.3">
      <c r="A97" s="360" t="s">
        <v>75</v>
      </c>
      <c r="B97" s="360"/>
      <c r="C97" s="360"/>
      <c r="D97" s="360"/>
    </row>
    <row r="98" spans="1:12" ht="15.75" x14ac:dyDescent="0.25">
      <c r="A98" s="356" t="s">
        <v>111</v>
      </c>
      <c r="B98" s="357"/>
      <c r="C98" s="356" t="s">
        <v>77</v>
      </c>
      <c r="D98" s="357"/>
      <c r="E98" s="7"/>
      <c r="F98" s="27"/>
      <c r="G98" s="7"/>
      <c r="H98" s="7"/>
      <c r="I98" s="191"/>
    </row>
    <row r="99" spans="1:12" ht="15.75" x14ac:dyDescent="0.25">
      <c r="A99" s="214" t="s">
        <v>103</v>
      </c>
      <c r="B99" s="215"/>
      <c r="C99" s="46"/>
      <c r="D99" s="203">
        <v>68067800</v>
      </c>
      <c r="E99" s="218"/>
      <c r="F99" s="220"/>
      <c r="G99" s="220"/>
      <c r="H99" s="221"/>
      <c r="I99" s="222"/>
    </row>
    <row r="100" spans="1:12" ht="15.75" x14ac:dyDescent="0.25">
      <c r="A100" s="354" t="s">
        <v>102</v>
      </c>
      <c r="B100" s="355"/>
      <c r="C100" s="46"/>
      <c r="D100" s="204"/>
      <c r="E100" s="219"/>
      <c r="F100" s="220"/>
      <c r="G100" s="220"/>
      <c r="H100" s="221"/>
      <c r="I100" s="222"/>
    </row>
    <row r="101" spans="1:12" ht="15.75" x14ac:dyDescent="0.25">
      <c r="A101" s="356" t="s">
        <v>104</v>
      </c>
      <c r="B101" s="357"/>
      <c r="C101" s="46"/>
      <c r="D101" s="203">
        <v>68067800</v>
      </c>
      <c r="E101" s="219"/>
      <c r="F101" s="220"/>
      <c r="G101" s="220"/>
      <c r="H101" s="221"/>
      <c r="I101" s="222"/>
    </row>
    <row r="102" spans="1:12" ht="15.75" x14ac:dyDescent="0.25">
      <c r="A102" s="350" t="s">
        <v>106</v>
      </c>
      <c r="B102" s="351"/>
      <c r="C102" s="46"/>
      <c r="D102" s="204">
        <v>46422140</v>
      </c>
      <c r="E102" s="219"/>
      <c r="F102" s="220"/>
      <c r="G102" s="220"/>
      <c r="H102" s="221"/>
      <c r="I102" s="222"/>
    </row>
    <row r="103" spans="1:12" ht="15.75" x14ac:dyDescent="0.25">
      <c r="A103" s="358" t="s">
        <v>161</v>
      </c>
      <c r="B103" s="359"/>
      <c r="C103" s="49"/>
      <c r="D103" s="205">
        <f>(D101-D102)</f>
        <v>21645660</v>
      </c>
      <c r="E103" s="218"/>
      <c r="F103" s="223"/>
      <c r="G103" s="223"/>
      <c r="H103" s="224"/>
      <c r="I103" s="224"/>
    </row>
    <row r="104" spans="1:12" ht="15.75" x14ac:dyDescent="0.25">
      <c r="A104" s="358" t="s">
        <v>158</v>
      </c>
      <c r="B104" s="359"/>
      <c r="C104" s="49"/>
      <c r="D104" s="206"/>
      <c r="F104" s="223"/>
    </row>
    <row r="105" spans="1:12" ht="15.75" x14ac:dyDescent="0.25">
      <c r="A105" s="400" t="s">
        <v>162</v>
      </c>
      <c r="B105" s="401"/>
      <c r="C105" s="49"/>
      <c r="D105" s="205">
        <f>SUM(D103:D104)</f>
        <v>21645660</v>
      </c>
      <c r="F105" s="7"/>
      <c r="G105" s="7"/>
      <c r="I105" s="186"/>
      <c r="L105" s="183"/>
    </row>
    <row r="106" spans="1:12" ht="15.75" x14ac:dyDescent="0.25">
      <c r="A106" s="346" t="s">
        <v>105</v>
      </c>
      <c r="B106" s="347"/>
      <c r="C106" s="46"/>
      <c r="D106" s="207"/>
      <c r="I106" s="186"/>
      <c r="L106" s="183"/>
    </row>
    <row r="107" spans="1:12" ht="15.75" x14ac:dyDescent="0.25">
      <c r="A107" s="348" t="s">
        <v>97</v>
      </c>
      <c r="B107" s="349"/>
      <c r="C107" s="46">
        <v>2000000</v>
      </c>
      <c r="D107" s="204"/>
      <c r="I107" s="187"/>
      <c r="L107" s="183"/>
    </row>
    <row r="108" spans="1:12" ht="15.75" x14ac:dyDescent="0.25">
      <c r="A108" s="350" t="s">
        <v>98</v>
      </c>
      <c r="B108" s="351"/>
      <c r="C108" s="46">
        <v>436000</v>
      </c>
      <c r="D108" s="204"/>
      <c r="L108" s="183"/>
    </row>
    <row r="109" spans="1:12" ht="15.75" x14ac:dyDescent="0.25">
      <c r="A109" s="113" t="s">
        <v>258</v>
      </c>
      <c r="B109" s="113"/>
      <c r="C109" s="114">
        <v>75000</v>
      </c>
      <c r="D109" s="208"/>
    </row>
    <row r="110" spans="1:12" ht="15.75" x14ac:dyDescent="0.25">
      <c r="A110" s="113" t="s">
        <v>253</v>
      </c>
      <c r="B110" s="113"/>
      <c r="C110" s="114">
        <v>426000</v>
      </c>
      <c r="D110" s="208"/>
    </row>
    <row r="111" spans="1:12" ht="15.75" x14ac:dyDescent="0.25">
      <c r="A111" s="352" t="s">
        <v>107</v>
      </c>
      <c r="B111" s="353"/>
      <c r="C111" s="51" t="s">
        <v>117</v>
      </c>
      <c r="D111" s="209">
        <f>SUM(C107:C110)</f>
        <v>2937000</v>
      </c>
    </row>
    <row r="112" spans="1:12" ht="15.75" x14ac:dyDescent="0.25">
      <c r="A112" s="344" t="s">
        <v>108</v>
      </c>
      <c r="B112" s="345"/>
      <c r="C112" s="51"/>
      <c r="D112" s="204"/>
    </row>
    <row r="113" spans="1:4" ht="15.75" x14ac:dyDescent="0.25">
      <c r="A113" s="346" t="s">
        <v>109</v>
      </c>
      <c r="B113" s="347"/>
      <c r="C113" s="48"/>
      <c r="D113" s="205">
        <f>(D105-D111)</f>
        <v>18708660</v>
      </c>
    </row>
  </sheetData>
  <mergeCells count="25">
    <mergeCell ref="G90:I90"/>
    <mergeCell ref="A1:N1"/>
    <mergeCell ref="A2:N2"/>
    <mergeCell ref="A85:E85"/>
    <mergeCell ref="E87:J87"/>
    <mergeCell ref="G88:H88"/>
    <mergeCell ref="A103:B103"/>
    <mergeCell ref="G92:I92"/>
    <mergeCell ref="G93:I93"/>
    <mergeCell ref="A95:D95"/>
    <mergeCell ref="A96:D96"/>
    <mergeCell ref="A97:D97"/>
    <mergeCell ref="A98:B98"/>
    <mergeCell ref="C98:D98"/>
    <mergeCell ref="A100:B100"/>
    <mergeCell ref="A101:B101"/>
    <mergeCell ref="A102:B102"/>
    <mergeCell ref="A112:B112"/>
    <mergeCell ref="A113:B113"/>
    <mergeCell ref="A104:B104"/>
    <mergeCell ref="A105:B105"/>
    <mergeCell ref="A106:B106"/>
    <mergeCell ref="A107:B107"/>
    <mergeCell ref="A108:B108"/>
    <mergeCell ref="A111:B111"/>
  </mergeCells>
  <pageMargins left="0.70866141732283472" right="0.31496062992125984" top="0.74803149606299213" bottom="0.55118110236220474" header="0.31496062992125984" footer="0.31496062992125984"/>
  <pageSetup paperSize="9" scale="57" fitToHeight="0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6"/>
  <sheetViews>
    <sheetView topLeftCell="A105" workbookViewId="0">
      <selection activeCell="K16" sqref="K16"/>
    </sheetView>
  </sheetViews>
  <sheetFormatPr defaultRowHeight="15" x14ac:dyDescent="0.25"/>
  <cols>
    <col min="1" max="1" width="6.140625" customWidth="1"/>
    <col min="2" max="2" width="23.42578125" customWidth="1"/>
    <col min="3" max="3" width="28" customWidth="1"/>
    <col min="4" max="4" width="18.5703125" customWidth="1"/>
    <col min="5" max="5" width="15.42578125" customWidth="1"/>
    <col min="6" max="6" width="10.85546875" customWidth="1"/>
    <col min="7" max="7" width="13.7109375" customWidth="1"/>
    <col min="8" max="8" width="8.8554687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259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131" t="s">
        <v>0</v>
      </c>
      <c r="B4" s="132" t="s">
        <v>1</v>
      </c>
      <c r="C4" s="133" t="s">
        <v>2</v>
      </c>
      <c r="D4" s="132" t="s">
        <v>119</v>
      </c>
      <c r="E4" s="132" t="s">
        <v>3</v>
      </c>
      <c r="F4" s="134" t="s">
        <v>4</v>
      </c>
      <c r="G4" s="134" t="s">
        <v>5</v>
      </c>
      <c r="H4" s="135" t="s">
        <v>6</v>
      </c>
      <c r="I4" s="136" t="s">
        <v>7</v>
      </c>
      <c r="J4" s="136" t="s">
        <v>115</v>
      </c>
      <c r="K4" s="136" t="s">
        <v>92</v>
      </c>
      <c r="L4" s="134" t="s">
        <v>116</v>
      </c>
      <c r="M4" s="134" t="s">
        <v>81</v>
      </c>
      <c r="N4" s="134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141">
        <v>0</v>
      </c>
      <c r="G5" s="142"/>
      <c r="H5" s="141">
        <f>(Table2423256789101112[STOK])-(Table2423256789101112[TERJUAL])</f>
        <v>0</v>
      </c>
      <c r="I5" s="143">
        <f>(Table2423256789101112[HARGA JUAL]*Table2423256789101112[TERJUAL])-(Table2423256789101112[HARGA POKOK]*Table2423256789101112[TERJUAL])</f>
        <v>0</v>
      </c>
      <c r="J5" s="143">
        <f>(Table2423256789101112[HARGA JUAL]*Table2423256789101112[TERJUAL])</f>
        <v>0</v>
      </c>
      <c r="K5" s="143">
        <f>Table2423256789101112[HARGA JUAL]*Table2423256789101112[SISA]</f>
        <v>0</v>
      </c>
      <c r="L5" s="144">
        <f>Table2423256789101112[HARGA POKOK]*Table2423256789101112[STOK]</f>
        <v>0</v>
      </c>
      <c r="M5" s="144">
        <f>Table2423256789101112[HARGA JUAL]*Table2423256789101112[STOK]</f>
        <v>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141">
        <v>66</v>
      </c>
      <c r="G6" s="142">
        <v>24</v>
      </c>
      <c r="H6" s="141">
        <f>(Table2423256789101112[STOK])-(Table2423256789101112[TERJUAL])</f>
        <v>42</v>
      </c>
      <c r="I6" s="143">
        <f>(Table2423256789101112[HARGA JUAL]*Table2423256789101112[TERJUAL])-(Table2423256789101112[HARGA POKOK]*Table2423256789101112[TERJUAL])</f>
        <v>480000</v>
      </c>
      <c r="J6" s="143">
        <f>(Table2423256789101112[HARGA JUAL]*Table2423256789101112[TERJUAL])</f>
        <v>1920000</v>
      </c>
      <c r="K6" s="143">
        <f>Table2423256789101112[HARGA JUAL]*Table2423256789101112[SISA]</f>
        <v>3360000</v>
      </c>
      <c r="L6" s="144">
        <f>Table2423256789101112[HARGA POKOK]*Table2423256789101112[STOK]</f>
        <v>3960000</v>
      </c>
      <c r="M6" s="144">
        <f>Table2423256789101112[HARGA JUAL]*Table2423256789101112[STOK]</f>
        <v>5280000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52500</v>
      </c>
      <c r="E7" s="140">
        <v>70000</v>
      </c>
      <c r="F7" s="141">
        <v>17</v>
      </c>
      <c r="G7" s="142">
        <v>8</v>
      </c>
      <c r="H7" s="141">
        <f>(Table2423256789101112[STOK])-(Table2423256789101112[TERJUAL])</f>
        <v>9</v>
      </c>
      <c r="I7" s="143">
        <f>(Table2423256789101112[HARGA JUAL]*Table2423256789101112[TERJUAL])-(Table2423256789101112[HARGA POKOK]*Table2423256789101112[TERJUAL])</f>
        <v>140000</v>
      </c>
      <c r="J7" s="143">
        <f>(Table2423256789101112[HARGA JUAL]*Table2423256789101112[TERJUAL])</f>
        <v>560000</v>
      </c>
      <c r="K7" s="143">
        <f>Table2423256789101112[HARGA JUAL]*Table2423256789101112[SISA]</f>
        <v>630000</v>
      </c>
      <c r="L7" s="144">
        <f>Table2423256789101112[HARGA POKOK]*Table2423256789101112[STOK]</f>
        <v>892500</v>
      </c>
      <c r="M7" s="144">
        <f>Table2423256789101112[HARGA JUAL]*Table2423256789101112[STOK]</f>
        <v>1190000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15</v>
      </c>
      <c r="G8" s="142">
        <v>14</v>
      </c>
      <c r="H8" s="141">
        <f>(Table2423256789101112[STOK])-(Table2423256789101112[TERJUAL])</f>
        <v>1</v>
      </c>
      <c r="I8" s="143">
        <f>(Table2423256789101112[HARGA JUAL]*Table2423256789101112[TERJUAL])-(Table2423256789101112[HARGA POKOK]*Table2423256789101112[TERJUAL])</f>
        <v>231000</v>
      </c>
      <c r="J8" s="143">
        <f>(Table2423256789101112[HARGA JUAL]*Table2423256789101112[TERJUAL])</f>
        <v>1148000</v>
      </c>
      <c r="K8" s="143">
        <f>Table2423256789101112[HARGA JUAL]*Table2423256789101112[SISA]</f>
        <v>82000</v>
      </c>
      <c r="L8" s="144">
        <f>Table2423256789101112[HARGA POKOK]*Table2423256789101112[STOK]</f>
        <v>982500</v>
      </c>
      <c r="M8" s="144">
        <f>Table2423256789101112[HARGA JUAL]*Table2423256789101112[STOK]</f>
        <v>1230000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107</v>
      </c>
      <c r="G9" s="142">
        <v>15</v>
      </c>
      <c r="H9" s="141">
        <f>(Table2423256789101112[STOK])-(Table2423256789101112[TERJUAL])</f>
        <v>92</v>
      </c>
      <c r="I9" s="143">
        <f>(Table2423256789101112[HARGA JUAL]*Table2423256789101112[TERJUAL])-(Table2423256789101112[HARGA POKOK]*Table2423256789101112[TERJUAL])</f>
        <v>322500</v>
      </c>
      <c r="J9" s="143">
        <f>(Table2423256789101112[HARGA JUAL]*Table2423256789101112[TERJUAL])</f>
        <v>1200000</v>
      </c>
      <c r="K9" s="143">
        <f>Table2423256789101112[HARGA JUAL]*Table2423256789101112[SISA]</f>
        <v>7360000</v>
      </c>
      <c r="L9" s="144">
        <f>Table2423256789101112[HARGA POKOK]*Table2423256789101112[STOK]</f>
        <v>6259500</v>
      </c>
      <c r="M9" s="144">
        <f>Table2423256789101112[HARGA JUAL]*Table2423256789101112[STOK]</f>
        <v>8560000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28</v>
      </c>
      <c r="G10" s="142"/>
      <c r="H10" s="141">
        <f>(Table2423256789101112[STOK])-(Table2423256789101112[TERJUAL])</f>
        <v>28</v>
      </c>
      <c r="I10" s="143">
        <f>(Table2423256789101112[HARGA JUAL]*Table2423256789101112[TERJUAL])-(Table2423256789101112[HARGA POKOK]*Table2423256789101112[TERJUAL])</f>
        <v>0</v>
      </c>
      <c r="J10" s="143">
        <f>(Table2423256789101112[HARGA JUAL]*Table2423256789101112[TERJUAL])</f>
        <v>0</v>
      </c>
      <c r="K10" s="143">
        <f>Table2423256789101112[HARGA JUAL]*Table2423256789101112[SISA]</f>
        <v>3080000</v>
      </c>
      <c r="L10" s="144">
        <f>Table2423256789101112[HARGA POKOK]*Table2423256789101112[STOK]</f>
        <v>2338000</v>
      </c>
      <c r="M10" s="144">
        <f>Table2423256789101112[HARGA JUAL]*Table2423256789101112[STOK]</f>
        <v>3080000</v>
      </c>
      <c r="N10" s="145"/>
    </row>
    <row r="11" spans="1:14" x14ac:dyDescent="0.25">
      <c r="A11" s="137">
        <v>7</v>
      </c>
      <c r="B11" s="138" t="s">
        <v>28</v>
      </c>
      <c r="C11" s="138" t="s">
        <v>38</v>
      </c>
      <c r="D11" s="140">
        <v>88500</v>
      </c>
      <c r="E11" s="140">
        <v>115000</v>
      </c>
      <c r="F11" s="141">
        <v>16</v>
      </c>
      <c r="G11" s="142"/>
      <c r="H11" s="141">
        <f>(Table2423256789101112[STOK])-(Table2423256789101112[TERJUAL])</f>
        <v>16</v>
      </c>
      <c r="I11" s="143">
        <f>(Table2423256789101112[HARGA JUAL]*Table2423256789101112[TERJUAL])-(Table2423256789101112[HARGA POKOK]*Table2423256789101112[TERJUAL])</f>
        <v>0</v>
      </c>
      <c r="J11" s="143">
        <f>(Table2423256789101112[HARGA JUAL]*Table2423256789101112[TERJUAL])</f>
        <v>0</v>
      </c>
      <c r="K11" s="143">
        <f>Table2423256789101112[HARGA JUAL]*Table2423256789101112[SISA]</f>
        <v>1840000</v>
      </c>
      <c r="L11" s="144">
        <f>Table2423256789101112[HARGA POKOK]*Table2423256789101112[STOK]</f>
        <v>1416000</v>
      </c>
      <c r="M11" s="144">
        <f>Table2423256789101112[HARGA JUAL]*Table2423256789101112[STOK]</f>
        <v>1840000</v>
      </c>
      <c r="N11" s="145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79</v>
      </c>
      <c r="G12" s="142">
        <v>5</v>
      </c>
      <c r="H12" s="141">
        <f>(Table2423256789101112[STOK])-(Table2423256789101112[TERJUAL])</f>
        <v>74</v>
      </c>
      <c r="I12" s="143">
        <f>(Table2423256789101112[HARGA JUAL]*Table2423256789101112[TERJUAL])-(Table2423256789101112[HARGA POKOK]*Table2423256789101112[TERJUAL])</f>
        <v>30000</v>
      </c>
      <c r="J12" s="143">
        <f>(Table2423256789101112[HARGA JUAL]*Table2423256789101112[TERJUAL])</f>
        <v>450000</v>
      </c>
      <c r="K12" s="143">
        <f>Table2423256789101112[HARGA JUAL]*Table2423256789101112[SISA]</f>
        <v>6660000</v>
      </c>
      <c r="L12" s="144">
        <f>Table2423256789101112[HARGA POKOK]*Table2423256789101112[STOK]</f>
        <v>6636000</v>
      </c>
      <c r="M12" s="144">
        <f>Table2423256789101112[HARGA JUAL]*Table2423256789101112[STOK]</f>
        <v>7110000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21</v>
      </c>
      <c r="G13" s="142">
        <v>1</v>
      </c>
      <c r="H13" s="141">
        <f>(Table2423256789101112[STOK])-(Table2423256789101112[TERJUAL])</f>
        <v>20</v>
      </c>
      <c r="I13" s="143">
        <f>(Table2423256789101112[HARGA JUAL]*Table2423256789101112[TERJUAL])-(Table2423256789101112[HARGA POKOK]*Table2423256789101112[TERJUAL])</f>
        <v>21500</v>
      </c>
      <c r="J13" s="143">
        <f>(Table2423256789101112[HARGA JUAL]*Table2423256789101112[TERJUAL])</f>
        <v>180000</v>
      </c>
      <c r="K13" s="143">
        <f>Table2423256789101112[HARGA JUAL]*Table2423256789101112[SISA]</f>
        <v>3600000</v>
      </c>
      <c r="L13" s="144">
        <f>Table2423256789101112[HARGA POKOK]*Table2423256789101112[STOK]</f>
        <v>3328500</v>
      </c>
      <c r="M13" s="144">
        <f>Table2423256789101112[HARGA JUAL]*Table2423256789101112[STOK]</f>
        <v>3780000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160000</v>
      </c>
      <c r="F14" s="141">
        <v>39</v>
      </c>
      <c r="G14" s="142">
        <v>2</v>
      </c>
      <c r="H14" s="141">
        <f>(Table2423256789101112[STOK])-(Table2423256789101112[TERJUAL])</f>
        <v>37</v>
      </c>
      <c r="I14" s="143">
        <f>(Table2423256789101112[HARGA JUAL]*Table2423256789101112[TERJUAL])-(Table2423256789101112[HARGA POKOK]*Table2423256789101112[TERJUAL])</f>
        <v>54000</v>
      </c>
      <c r="J14" s="143">
        <f>(Table2423256789101112[HARGA JUAL]*Table2423256789101112[TERJUAL])</f>
        <v>320000</v>
      </c>
      <c r="K14" s="143">
        <f>Table2423256789101112[HARGA JUAL]*Table2423256789101112[SISA]</f>
        <v>5920000</v>
      </c>
      <c r="L14" s="144">
        <f>Table2423256789101112[HARGA POKOK]*Table2423256789101112[STOK]</f>
        <v>5187000</v>
      </c>
      <c r="M14" s="144">
        <f>Table2423256789101112[HARGA JUAL]*Table2423256789101112[STOK]</f>
        <v>6240000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0</v>
      </c>
      <c r="G15" s="142"/>
      <c r="H15" s="141">
        <f>(Table2423256789101112[STOK])-(Table2423256789101112[TERJUAL])</f>
        <v>0</v>
      </c>
      <c r="I15" s="143">
        <f>(Table2423256789101112[HARGA JUAL]*Table2423256789101112[TERJUAL])-(Table2423256789101112[HARGA POKOK]*Table2423256789101112[TERJUAL])</f>
        <v>0</v>
      </c>
      <c r="J15" s="143">
        <f>(Table2423256789101112[HARGA JUAL]*Table2423256789101112[TERJUAL])</f>
        <v>0</v>
      </c>
      <c r="K15" s="143">
        <f>Table2423256789101112[HARGA JUAL]*Table2423256789101112[SISA]</f>
        <v>0</v>
      </c>
      <c r="L15" s="144">
        <f>Table2423256789101112[HARGA POKOK]*Table2423256789101112[STOK]</f>
        <v>0</v>
      </c>
      <c r="M15" s="144">
        <f>Table2423256789101112[HARGA JUAL]*Table2423256789101112[STOK]</f>
        <v>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17</v>
      </c>
      <c r="G16" s="142">
        <v>6</v>
      </c>
      <c r="H16" s="141">
        <f>(Table2423256789101112[STOK])-(Table2423256789101112[TERJUAL])</f>
        <v>11</v>
      </c>
      <c r="I16" s="143">
        <f>(Table2423256789101112[HARGA JUAL]*Table2423256789101112[TERJUAL])-(Table2423256789101112[HARGA POKOK]*Table2423256789101112[TERJUAL])</f>
        <v>165000</v>
      </c>
      <c r="J16" s="143">
        <f>(Table2423256789101112[HARGA JUAL]*Table2423256789101112[TERJUAL])</f>
        <v>600000</v>
      </c>
      <c r="K16" s="143">
        <f>Table2423256789101112[HARGA JUAL]*Table2423256789101112[SISA]</f>
        <v>1100000</v>
      </c>
      <c r="L16" s="144">
        <f>Table2423256789101112[HARGA POKOK]*Table2423256789101112[STOK]</f>
        <v>1232500</v>
      </c>
      <c r="M16" s="144">
        <f>Table2423256789101112[HARGA JUAL]*Table2423256789101112[STOK]</f>
        <v>1700000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58</v>
      </c>
      <c r="G17" s="142">
        <v>2</v>
      </c>
      <c r="H17" s="141">
        <f>(Table2423256789101112[STOK])-(Table2423256789101112[TERJUAL])</f>
        <v>56</v>
      </c>
      <c r="I17" s="143">
        <f>(Table2423256789101112[HARGA JUAL]*Table2423256789101112[TERJUAL])-(Table2423256789101112[HARGA POKOK]*Table2423256789101112[TERJUAL])</f>
        <v>38000</v>
      </c>
      <c r="J17" s="143">
        <f>(Table2423256789101112[HARGA JUAL]*Table2423256789101112[TERJUAL])</f>
        <v>170000</v>
      </c>
      <c r="K17" s="143">
        <f>Table2423256789101112[HARGA JUAL]*Table2423256789101112[SISA]</f>
        <v>4760000</v>
      </c>
      <c r="L17" s="144">
        <f>Table2423256789101112[HARGA POKOK]*Table2423256789101112[STOK]</f>
        <v>3828000</v>
      </c>
      <c r="M17" s="144">
        <f>Table2423256789101112[HARGA JUAL]*Table2423256789101112[STOK]</f>
        <v>4930000</v>
      </c>
      <c r="N17" s="145"/>
    </row>
    <row r="18" spans="1:14" x14ac:dyDescent="0.25">
      <c r="A18" s="137">
        <v>14</v>
      </c>
      <c r="B18" s="138" t="s">
        <v>28</v>
      </c>
      <c r="C18" s="146" t="s">
        <v>48</v>
      </c>
      <c r="D18" s="140">
        <v>22500</v>
      </c>
      <c r="E18" s="140">
        <v>25000</v>
      </c>
      <c r="F18" s="141">
        <v>566</v>
      </c>
      <c r="G18" s="142">
        <v>1</v>
      </c>
      <c r="H18" s="141">
        <f>(Table2423256789101112[STOK])-(Table2423256789101112[TERJUAL])</f>
        <v>565</v>
      </c>
      <c r="I18" s="143">
        <f>(Table2423256789101112[HARGA JUAL]*Table2423256789101112[TERJUAL])-(Table2423256789101112[HARGA POKOK]*Table2423256789101112[TERJUAL])</f>
        <v>2500</v>
      </c>
      <c r="J18" s="143">
        <f>(Table2423256789101112[HARGA JUAL]*Table2423256789101112[TERJUAL])</f>
        <v>25000</v>
      </c>
      <c r="K18" s="143">
        <f>Table2423256789101112[HARGA JUAL]*Table2423256789101112[SISA]</f>
        <v>14125000</v>
      </c>
      <c r="L18" s="144">
        <f>Table2423256789101112[HARGA POKOK]*Table2423256789101112[STOK]</f>
        <v>12735000</v>
      </c>
      <c r="M18" s="144">
        <f>Table2423256789101112[HARGA JUAL]*Table2423256789101112[STOK]</f>
        <v>14150000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40</v>
      </c>
      <c r="G19" s="142">
        <v>1</v>
      </c>
      <c r="H19" s="141">
        <f>(Table2423256789101112[STOK])-(Table2423256789101112[TERJUAL])</f>
        <v>39</v>
      </c>
      <c r="I19" s="143">
        <f>(Table2423256789101112[HARGA JUAL]*Table2423256789101112[TERJUAL])-(Table2423256789101112[HARGA POKOK]*Table2423256789101112[TERJUAL])</f>
        <v>24000</v>
      </c>
      <c r="J19" s="143">
        <f>(Table2423256789101112[HARGA JUAL]*Table2423256789101112[TERJUAL])</f>
        <v>80000</v>
      </c>
      <c r="K19" s="143">
        <f>Table2423256789101112[HARGA JUAL]*Table2423256789101112[SISA]</f>
        <v>3120000</v>
      </c>
      <c r="L19" s="144">
        <f>Table2423256789101112[HARGA POKOK]*Table2423256789101112[STOK]</f>
        <v>2240000</v>
      </c>
      <c r="M19" s="144">
        <f>Table2423256789101112[HARGA JUAL]*Table2423256789101112[STOK]</f>
        <v>3200000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15</v>
      </c>
      <c r="G20" s="142">
        <v>2</v>
      </c>
      <c r="H20" s="141">
        <f>(Table2423256789101112[STOK])-(Table2423256789101112[TERJUAL])</f>
        <v>13</v>
      </c>
      <c r="I20" s="143">
        <f>(Table2423256789101112[HARGA JUAL]*Table2423256789101112[TERJUAL])-(Table2423256789101112[HARGA POKOK]*Table2423256789101112[TERJUAL])</f>
        <v>40000</v>
      </c>
      <c r="J20" s="143">
        <f>(Table2423256789101112[HARGA JUAL]*Table2423256789101112[TERJUAL])</f>
        <v>120000</v>
      </c>
      <c r="K20" s="143">
        <f>Table2423256789101112[HARGA JUAL]*Table2423256789101112[SISA]</f>
        <v>780000</v>
      </c>
      <c r="L20" s="144">
        <f>Table2423256789101112[HARGA POKOK]*Table2423256789101112[STOK]</f>
        <v>600000</v>
      </c>
      <c r="M20" s="144">
        <f>Table2423256789101112[HARGA JUAL]*Table2423256789101112[STOK]</f>
        <v>900000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86</v>
      </c>
      <c r="G21" s="142">
        <v>3</v>
      </c>
      <c r="H21" s="141">
        <f>(Table2423256789101112[STOK])-(Table2423256789101112[TERJUAL])</f>
        <v>83</v>
      </c>
      <c r="I21" s="143">
        <f>(Table2423256789101112[HARGA JUAL]*Table2423256789101112[TERJUAL])-(Table2423256789101112[HARGA POKOK]*Table2423256789101112[TERJUAL])</f>
        <v>34500</v>
      </c>
      <c r="J21" s="143">
        <f>(Table2423256789101112[HARGA JUAL]*Table2423256789101112[TERJUAL])</f>
        <v>66000</v>
      </c>
      <c r="K21" s="143">
        <f>Table2423256789101112[HARGA JUAL]*Table2423256789101112[SISA]</f>
        <v>1826000</v>
      </c>
      <c r="L21" s="144">
        <f>Table2423256789101112[HARGA POKOK]*Table2423256789101112[STOK]</f>
        <v>903000</v>
      </c>
      <c r="M21" s="144">
        <f>Table2423256789101112[HARGA JUAL]*Table2423256789101112[STOK]</f>
        <v>1892000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63</v>
      </c>
      <c r="G22" s="142">
        <v>5</v>
      </c>
      <c r="H22" s="141">
        <f>(Table2423256789101112[STOK])-(Table2423256789101112[TERJUAL])</f>
        <v>58</v>
      </c>
      <c r="I22" s="143">
        <f>(Table2423256789101112[HARGA JUAL]*Table2423256789101112[TERJUAL])-(Table2423256789101112[HARGA POKOK]*Table2423256789101112[TERJUAL])</f>
        <v>100000</v>
      </c>
      <c r="J22" s="143">
        <f>(Table2423256789101112[HARGA JUAL]*Table2423256789101112[TERJUAL])</f>
        <v>400000</v>
      </c>
      <c r="K22" s="143">
        <f>Table2423256789101112[HARGA JUAL]*Table2423256789101112[SISA]</f>
        <v>4640000</v>
      </c>
      <c r="L22" s="144">
        <f>Table2423256789101112[HARGA POKOK]*Table2423256789101112[STOK]</f>
        <v>3780000</v>
      </c>
      <c r="M22" s="144">
        <f>Table2423256789101112[HARGA JUAL]*Table2423256789101112[STOK]</f>
        <v>5040000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87</v>
      </c>
      <c r="G23" s="142">
        <v>3</v>
      </c>
      <c r="H23" s="141">
        <f>(Table2423256789101112[STOK])-(Table2423256789101112[TERJUAL])</f>
        <v>84</v>
      </c>
      <c r="I23" s="143">
        <f>(Table2423256789101112[HARGA JUAL]*Table2423256789101112[TERJUAL])-(Table2423256789101112[HARGA POKOK]*Table2423256789101112[TERJUAL])</f>
        <v>31500</v>
      </c>
      <c r="J23" s="143">
        <f>(Table2423256789101112[HARGA JUAL]*Table2423256789101112[TERJUAL])</f>
        <v>75000</v>
      </c>
      <c r="K23" s="143">
        <f>Table2423256789101112[HARGA JUAL]*Table2423256789101112[SISA]</f>
        <v>2100000</v>
      </c>
      <c r="L23" s="144">
        <f>Table2423256789101112[HARGA POKOK]*Table2423256789101112[STOK]</f>
        <v>1261500</v>
      </c>
      <c r="M23" s="144">
        <f>Table2423256789101112[HARGA JUAL]*Table2423256789101112[STOK]</f>
        <v>2175000</v>
      </c>
      <c r="N23" s="145"/>
    </row>
    <row r="24" spans="1:14" x14ac:dyDescent="0.25">
      <c r="A24" s="137">
        <v>20</v>
      </c>
      <c r="B24" s="138" t="s">
        <v>28</v>
      </c>
      <c r="C24" s="138" t="s">
        <v>52</v>
      </c>
      <c r="D24" s="140">
        <v>30000</v>
      </c>
      <c r="E24" s="140">
        <v>25000</v>
      </c>
      <c r="F24" s="141">
        <v>98</v>
      </c>
      <c r="G24" s="142">
        <v>9</v>
      </c>
      <c r="H24" s="141">
        <f>(Table2423256789101112[STOK])-(Table2423256789101112[TERJUAL])</f>
        <v>89</v>
      </c>
      <c r="I24" s="143">
        <f>(Table2423256789101112[HARGA JUAL]*Table2423256789101112[TERJUAL])-(Table2423256789101112[HARGA POKOK]*Table2423256789101112[TERJUAL])</f>
        <v>-45000</v>
      </c>
      <c r="J24" s="143">
        <f>(Table2423256789101112[HARGA JUAL]*Table2423256789101112[TERJUAL])</f>
        <v>225000</v>
      </c>
      <c r="K24" s="143">
        <f>Table2423256789101112[HARGA JUAL]*Table2423256789101112[SISA]</f>
        <v>2225000</v>
      </c>
      <c r="L24" s="144">
        <f>Table2423256789101112[HARGA POKOK]*Table2423256789101112[STOK]</f>
        <v>2940000</v>
      </c>
      <c r="M24" s="144">
        <f>Table2423256789101112[HARGA JUAL]*Table2423256789101112[STOK]</f>
        <v>2450000</v>
      </c>
      <c r="N24" s="145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3000</v>
      </c>
      <c r="E25" s="140">
        <v>5000</v>
      </c>
      <c r="F25" s="141">
        <v>0</v>
      </c>
      <c r="G25" s="142"/>
      <c r="H25" s="141">
        <f>(Table2423256789101112[STOK])-(Table2423256789101112[TERJUAL])</f>
        <v>0</v>
      </c>
      <c r="I25" s="143">
        <f>(Table2423256789101112[HARGA JUAL]*Table2423256789101112[TERJUAL])-(Table2423256789101112[HARGA POKOK]*Table2423256789101112[TERJUAL])</f>
        <v>0</v>
      </c>
      <c r="J25" s="143">
        <f>(Table2423256789101112[HARGA JUAL]*Table2423256789101112[TERJUAL])</f>
        <v>0</v>
      </c>
      <c r="K25" s="143">
        <f>Table2423256789101112[HARGA JUAL]*Table2423256789101112[SISA]</f>
        <v>0</v>
      </c>
      <c r="L25" s="144">
        <f>Table2423256789101112[HARGA POKOK]*Table2423256789101112[STOK]</f>
        <v>0</v>
      </c>
      <c r="M25" s="144">
        <f>Table2423256789101112[HARGA JUAL]*Table2423256789101112[STOK]</f>
        <v>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91</v>
      </c>
      <c r="G26" s="142">
        <v>3</v>
      </c>
      <c r="H26" s="141">
        <f>(Table2423256789101112[STOK])-(Table2423256789101112[TERJUAL])</f>
        <v>88</v>
      </c>
      <c r="I26" s="143">
        <f>(Table2423256789101112[HARGA JUAL]*Table2423256789101112[TERJUAL])-(Table2423256789101112[HARGA POKOK]*Table2423256789101112[TERJUAL])</f>
        <v>37500</v>
      </c>
      <c r="J26" s="143">
        <f>(Table2423256789101112[HARGA JUAL]*Table2423256789101112[TERJUAL])</f>
        <v>180000</v>
      </c>
      <c r="K26" s="143">
        <f>Table2423256789101112[HARGA JUAL]*Table2423256789101112[SISA]</f>
        <v>5280000</v>
      </c>
      <c r="L26" s="144">
        <f>Table2423256789101112[HARGA POKOK]*Table2423256789101112[STOK]</f>
        <v>4322500</v>
      </c>
      <c r="M26" s="144">
        <f>Table2423256789101112[HARGA JUAL]*Table2423256789101112[STOK]</f>
        <v>5460000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9</v>
      </c>
      <c r="G27" s="142">
        <v>2</v>
      </c>
      <c r="H27" s="141">
        <f>(Table2423256789101112[STOK])-(Table2423256789101112[TERJUAL])</f>
        <v>7</v>
      </c>
      <c r="I27" s="143">
        <f>(Table2423256789101112[HARGA JUAL]*Table2423256789101112[TERJUAL])-(Table2423256789101112[HARGA POKOK]*Table2423256789101112[TERJUAL])</f>
        <v>57000</v>
      </c>
      <c r="J27" s="143">
        <f>(Table2423256789101112[HARGA JUAL]*Table2423256789101112[TERJUAL])</f>
        <v>286000</v>
      </c>
      <c r="K27" s="143">
        <f>Table2423256789101112[HARGA JUAL]*Table2423256789101112[SISA]</f>
        <v>1001000</v>
      </c>
      <c r="L27" s="144">
        <f>Table2423256789101112[HARGA POKOK]*Table2423256789101112[STOK]</f>
        <v>1030500</v>
      </c>
      <c r="M27" s="144">
        <f>Table2423256789101112[HARGA JUAL]*Table2423256789101112[STOK]</f>
        <v>1287000</v>
      </c>
      <c r="N27" s="145"/>
    </row>
    <row r="28" spans="1:14" x14ac:dyDescent="0.25">
      <c r="A28" s="137">
        <v>24</v>
      </c>
      <c r="B28" s="138" t="s">
        <v>29</v>
      </c>
      <c r="C28" s="138" t="s">
        <v>56</v>
      </c>
      <c r="D28" s="140">
        <v>82500</v>
      </c>
      <c r="E28" s="140">
        <v>120000</v>
      </c>
      <c r="F28" s="141">
        <v>0</v>
      </c>
      <c r="G28" s="142"/>
      <c r="H28" s="141">
        <f>(Table2423256789101112[STOK])-(Table2423256789101112[TERJUAL])</f>
        <v>0</v>
      </c>
      <c r="I28" s="143">
        <f>(Table2423256789101112[HARGA JUAL]*Table2423256789101112[TERJUAL])-(Table2423256789101112[HARGA POKOK]*Table2423256789101112[TERJUAL])</f>
        <v>0</v>
      </c>
      <c r="J28" s="143">
        <f>(Table2423256789101112[HARGA JUAL]*Table2423256789101112[TERJUAL])</f>
        <v>0</v>
      </c>
      <c r="K28" s="143">
        <f>Table2423256789101112[HARGA JUAL]*Table2423256789101112[SISA]</f>
        <v>0</v>
      </c>
      <c r="L28" s="144">
        <f>Table2423256789101112[HARGA POKOK]*Table2423256789101112[STOK]</f>
        <v>0</v>
      </c>
      <c r="M28" s="144">
        <f>Table2423256789101112[HARGA JUAL]*Table2423256789101112[STOK]</f>
        <v>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(Table2423256789101112[STOK])-(Table2423256789101112[TERJUAL])</f>
        <v>0</v>
      </c>
      <c r="I29" s="143">
        <f>(Table2423256789101112[HARGA JUAL]*Table2423256789101112[TERJUAL])-(Table2423256789101112[HARGA POKOK]*Table2423256789101112[TERJUAL])</f>
        <v>0</v>
      </c>
      <c r="J29" s="143">
        <f>(Table2423256789101112[HARGA JUAL]*Table2423256789101112[TERJUAL])</f>
        <v>0</v>
      </c>
      <c r="K29" s="143">
        <f>Table2423256789101112[HARGA JUAL]*Table2423256789101112[SISA]</f>
        <v>0</v>
      </c>
      <c r="L29" s="144">
        <f>Table2423256789101112[HARGA POKOK]*Table2423256789101112[STOK]</f>
        <v>0</v>
      </c>
      <c r="M29" s="144">
        <f>Table2423256789101112[HARGA JUAL]*Table2423256789101112[STOK]</f>
        <v>0</v>
      </c>
      <c r="N29" s="145"/>
    </row>
    <row r="30" spans="1:14" x14ac:dyDescent="0.25">
      <c r="A30" s="137">
        <v>26</v>
      </c>
      <c r="B30" s="138" t="s">
        <v>30</v>
      </c>
      <c r="C30" s="138" t="s">
        <v>58</v>
      </c>
      <c r="D30" s="140">
        <v>10000</v>
      </c>
      <c r="E30" s="140">
        <v>18000</v>
      </c>
      <c r="F30" s="141"/>
      <c r="G30" s="142"/>
      <c r="H30" s="141">
        <f>(Table2423256789101112[STOK])-(Table2423256789101112[TERJUAL])</f>
        <v>0</v>
      </c>
      <c r="I30" s="143">
        <f>(Table2423256789101112[HARGA JUAL]*Table2423256789101112[TERJUAL])-(Table2423256789101112[HARGA POKOK]*Table2423256789101112[TERJUAL])</f>
        <v>0</v>
      </c>
      <c r="J30" s="143">
        <f>(Table2423256789101112[HARGA JUAL]*Table2423256789101112[TERJUAL])</f>
        <v>0</v>
      </c>
      <c r="K30" s="143">
        <f>Table2423256789101112[HARGA JUAL]*Table2423256789101112[SISA]</f>
        <v>0</v>
      </c>
      <c r="L30" s="144">
        <f>Table2423256789101112[HARGA POKOK]*Table2423256789101112[STOK]</f>
        <v>0</v>
      </c>
      <c r="M30" s="144">
        <f>Table2423256789101112[HARGA JUAL]*Table2423256789101112[STOK]</f>
        <v>0</v>
      </c>
      <c r="N30" s="145"/>
    </row>
    <row r="31" spans="1:14" x14ac:dyDescent="0.25">
      <c r="A31" s="137">
        <v>27</v>
      </c>
      <c r="B31" s="138" t="s">
        <v>30</v>
      </c>
      <c r="C31" s="138" t="s">
        <v>59</v>
      </c>
      <c r="D31" s="140">
        <v>27500</v>
      </c>
      <c r="E31" s="140">
        <v>45000</v>
      </c>
      <c r="F31" s="141">
        <v>22</v>
      </c>
      <c r="G31" s="142">
        <v>5</v>
      </c>
      <c r="H31" s="141">
        <f>(Table2423256789101112[STOK])-(Table2423256789101112[TERJUAL])</f>
        <v>17</v>
      </c>
      <c r="I31" s="143">
        <f>(Table2423256789101112[HARGA JUAL]*Table2423256789101112[TERJUAL])-(Table2423256789101112[HARGA POKOK]*Table2423256789101112[TERJUAL])</f>
        <v>87500</v>
      </c>
      <c r="J31" s="143">
        <f>(Table2423256789101112[HARGA JUAL]*Table2423256789101112[TERJUAL])</f>
        <v>225000</v>
      </c>
      <c r="K31" s="143">
        <f>Table2423256789101112[HARGA JUAL]*Table2423256789101112[SISA]</f>
        <v>765000</v>
      </c>
      <c r="L31" s="144">
        <f>Table2423256789101112[HARGA POKOK]*Table2423256789101112[STOK]</f>
        <v>605000</v>
      </c>
      <c r="M31" s="144">
        <f>Table2423256789101112[HARGA JUAL]*Table2423256789101112[STOK]</f>
        <v>990000</v>
      </c>
      <c r="N31" s="145"/>
    </row>
    <row r="32" spans="1:14" x14ac:dyDescent="0.25">
      <c r="A32" s="137">
        <v>28</v>
      </c>
      <c r="B32" s="138" t="s">
        <v>30</v>
      </c>
      <c r="C32" s="138" t="s">
        <v>60</v>
      </c>
      <c r="D32" s="140">
        <v>12500</v>
      </c>
      <c r="E32" s="140">
        <v>16000</v>
      </c>
      <c r="F32" s="141"/>
      <c r="G32" s="142"/>
      <c r="H32" s="141">
        <f>(Table2423256789101112[STOK])-(Table2423256789101112[TERJUAL])</f>
        <v>0</v>
      </c>
      <c r="I32" s="143">
        <f>(Table2423256789101112[HARGA JUAL]*Table2423256789101112[TERJUAL])-(Table2423256789101112[HARGA POKOK]*Table2423256789101112[TERJUAL])</f>
        <v>0</v>
      </c>
      <c r="J32" s="143">
        <f>(Table2423256789101112[HARGA JUAL]*Table2423256789101112[TERJUAL])</f>
        <v>0</v>
      </c>
      <c r="K32" s="143">
        <f>Table2423256789101112[HARGA JUAL]*Table2423256789101112[SISA]</f>
        <v>0</v>
      </c>
      <c r="L32" s="144">
        <f>Table2423256789101112[HARGA POKOK]*Table2423256789101112[STOK]</f>
        <v>0</v>
      </c>
      <c r="M32" s="144">
        <f>Table2423256789101112[HARGA JUAL]*Table2423256789101112[STOK]</f>
        <v>0</v>
      </c>
      <c r="N32" s="145"/>
    </row>
    <row r="33" spans="1:14" x14ac:dyDescent="0.25">
      <c r="A33" s="137">
        <v>29</v>
      </c>
      <c r="B33" s="138" t="s">
        <v>30</v>
      </c>
      <c r="C33" s="138" t="s">
        <v>13</v>
      </c>
      <c r="D33" s="140">
        <v>33500</v>
      </c>
      <c r="E33" s="140">
        <v>50000</v>
      </c>
      <c r="F33" s="141">
        <v>0</v>
      </c>
      <c r="G33" s="142"/>
      <c r="H33" s="141">
        <f>(Table2423256789101112[STOK])-(Table2423256789101112[TERJUAL])</f>
        <v>0</v>
      </c>
      <c r="I33" s="143">
        <f>(Table2423256789101112[HARGA JUAL]*Table2423256789101112[TERJUAL])-(Table2423256789101112[HARGA POKOK]*Table2423256789101112[TERJUAL])</f>
        <v>0</v>
      </c>
      <c r="J33" s="143">
        <f>(Table2423256789101112[HARGA JUAL]*Table2423256789101112[TERJUAL])</f>
        <v>0</v>
      </c>
      <c r="K33" s="143">
        <f>Table2423256789101112[HARGA JUAL]*Table2423256789101112[SISA]</f>
        <v>0</v>
      </c>
      <c r="L33" s="144">
        <f>Table2423256789101112[HARGA POKOK]*Table2423256789101112[STOK]</f>
        <v>0</v>
      </c>
      <c r="M33" s="144">
        <f>Table2423256789101112[HARGA JUAL]*Table2423256789101112[STOK]</f>
        <v>0</v>
      </c>
      <c r="N33" s="145"/>
    </row>
    <row r="34" spans="1:14" x14ac:dyDescent="0.25">
      <c r="A34" s="137">
        <v>30</v>
      </c>
      <c r="B34" s="138" t="s">
        <v>30</v>
      </c>
      <c r="C34" s="193" t="s">
        <v>14</v>
      </c>
      <c r="D34" s="140">
        <v>8500</v>
      </c>
      <c r="E34" s="140">
        <v>12000</v>
      </c>
      <c r="F34" s="141">
        <v>175</v>
      </c>
      <c r="G34" s="142">
        <v>9</v>
      </c>
      <c r="H34" s="141">
        <f>(Table2423256789101112[STOK])-(Table2423256789101112[TERJUAL])</f>
        <v>166</v>
      </c>
      <c r="I34" s="143">
        <f>(Table2423256789101112[HARGA JUAL]*Table2423256789101112[TERJUAL])-(Table2423256789101112[HARGA POKOK]*Table2423256789101112[TERJUAL])</f>
        <v>31500</v>
      </c>
      <c r="J34" s="143">
        <f>(Table2423256789101112[HARGA JUAL]*Table2423256789101112[TERJUAL])</f>
        <v>108000</v>
      </c>
      <c r="K34" s="143">
        <f>Table2423256789101112[HARGA JUAL]*Table2423256789101112[SISA]</f>
        <v>1992000</v>
      </c>
      <c r="L34" s="144">
        <f>Table2423256789101112[HARGA POKOK]*Table2423256789101112[STOK]</f>
        <v>1487500</v>
      </c>
      <c r="M34" s="144">
        <f>Table2423256789101112[HARGA JUAL]*Table2423256789101112[STOK]</f>
        <v>2100000</v>
      </c>
      <c r="N34" s="145"/>
    </row>
    <row r="35" spans="1:14" x14ac:dyDescent="0.25">
      <c r="A35" s="137">
        <v>31</v>
      </c>
      <c r="B35" s="138" t="s">
        <v>30</v>
      </c>
      <c r="C35" s="138" t="s">
        <v>15</v>
      </c>
      <c r="D35" s="140">
        <v>30500</v>
      </c>
      <c r="E35" s="140">
        <v>45000</v>
      </c>
      <c r="F35" s="141">
        <v>20</v>
      </c>
      <c r="G35" s="142">
        <v>4</v>
      </c>
      <c r="H35" s="141">
        <f>(Table2423256789101112[STOK])-(Table2423256789101112[TERJUAL])</f>
        <v>16</v>
      </c>
      <c r="I35" s="143">
        <f>(Table2423256789101112[HARGA JUAL]*Table2423256789101112[TERJUAL])-(Table2423256789101112[HARGA POKOK]*Table2423256789101112[TERJUAL])</f>
        <v>58000</v>
      </c>
      <c r="J35" s="143">
        <f>(Table2423256789101112[HARGA JUAL]*Table2423256789101112[TERJUAL])</f>
        <v>180000</v>
      </c>
      <c r="K35" s="143">
        <f>Table2423256789101112[HARGA JUAL]*Table2423256789101112[SISA]</f>
        <v>720000</v>
      </c>
      <c r="L35" s="144">
        <f>Table2423256789101112[HARGA POKOK]*Table2423256789101112[STOK]</f>
        <v>610000</v>
      </c>
      <c r="M35" s="144">
        <f>Table2423256789101112[HARGA JUAL]*Table2423256789101112[STOK]</f>
        <v>900000</v>
      </c>
      <c r="N35" s="145"/>
    </row>
    <row r="36" spans="1:14" x14ac:dyDescent="0.25">
      <c r="A36" s="137">
        <v>32</v>
      </c>
      <c r="B36" s="138" t="s">
        <v>30</v>
      </c>
      <c r="C36" s="138" t="s">
        <v>16</v>
      </c>
      <c r="D36" s="140">
        <v>7500</v>
      </c>
      <c r="E36" s="140">
        <v>10000</v>
      </c>
      <c r="F36" s="141">
        <v>159</v>
      </c>
      <c r="G36" s="142">
        <v>6</v>
      </c>
      <c r="H36" s="141">
        <f>(Table2423256789101112[STOK])-(Table2423256789101112[TERJUAL])</f>
        <v>153</v>
      </c>
      <c r="I36" s="143">
        <f>(Table2423256789101112[HARGA JUAL]*Table2423256789101112[TERJUAL])-(Table2423256789101112[HARGA POKOK]*Table2423256789101112[TERJUAL])</f>
        <v>15000</v>
      </c>
      <c r="J36" s="143">
        <f>(Table2423256789101112[HARGA JUAL]*Table2423256789101112[TERJUAL])</f>
        <v>60000</v>
      </c>
      <c r="K36" s="143">
        <f>Table2423256789101112[HARGA JUAL]*Table2423256789101112[SISA]</f>
        <v>1530000</v>
      </c>
      <c r="L36" s="144">
        <f>Table2423256789101112[HARGA POKOK]*Table2423256789101112[STOK]</f>
        <v>1192500</v>
      </c>
      <c r="M36" s="144">
        <f>Table2423256789101112[HARGA JUAL]*Table2423256789101112[STOK]</f>
        <v>1590000</v>
      </c>
      <c r="N36" s="145"/>
    </row>
    <row r="37" spans="1:14" x14ac:dyDescent="0.25">
      <c r="A37" s="137">
        <v>33</v>
      </c>
      <c r="B37" s="138" t="s">
        <v>35</v>
      </c>
      <c r="C37" s="138" t="s">
        <v>36</v>
      </c>
      <c r="D37" s="140">
        <v>51500</v>
      </c>
      <c r="E37" s="140">
        <v>65000</v>
      </c>
      <c r="F37" s="141">
        <v>34</v>
      </c>
      <c r="G37" s="142">
        <v>1</v>
      </c>
      <c r="H37" s="141">
        <f>(Table2423256789101112[STOK])-(Table2423256789101112[TERJUAL])</f>
        <v>33</v>
      </c>
      <c r="I37" s="143">
        <f>(Table2423256789101112[HARGA JUAL]*Table2423256789101112[TERJUAL])-(Table2423256789101112[HARGA POKOK]*Table2423256789101112[TERJUAL])</f>
        <v>13500</v>
      </c>
      <c r="J37" s="143">
        <f>(Table2423256789101112[HARGA JUAL]*Table2423256789101112[TERJUAL])</f>
        <v>65000</v>
      </c>
      <c r="K37" s="143">
        <f>Table2423256789101112[HARGA JUAL]*Table2423256789101112[SISA]</f>
        <v>2145000</v>
      </c>
      <c r="L37" s="144">
        <f>Table2423256789101112[HARGA POKOK]*Table2423256789101112[STOK]</f>
        <v>1751000</v>
      </c>
      <c r="M37" s="144">
        <f>Table2423256789101112[HARGA JUAL]*Table2423256789101112[STOK]</f>
        <v>2210000</v>
      </c>
      <c r="N37" s="145"/>
    </row>
    <row r="38" spans="1:14" x14ac:dyDescent="0.25">
      <c r="A38" s="137">
        <v>34</v>
      </c>
      <c r="B38" s="138" t="s">
        <v>35</v>
      </c>
      <c r="C38" s="138" t="s">
        <v>175</v>
      </c>
      <c r="D38" s="140">
        <v>27500</v>
      </c>
      <c r="E38" s="140">
        <v>40000</v>
      </c>
      <c r="F38" s="141">
        <v>80</v>
      </c>
      <c r="G38" s="142"/>
      <c r="H38" s="141">
        <f>(Table2423256789101112[STOK])-(Table2423256789101112[TERJUAL])</f>
        <v>80</v>
      </c>
      <c r="I38" s="143">
        <f>(Table2423256789101112[HARGA JUAL]*Table2423256789101112[TERJUAL])-(Table2423256789101112[HARGA POKOK]*Table2423256789101112[TERJUAL])</f>
        <v>0</v>
      </c>
      <c r="J38" s="143">
        <f>(Table2423256789101112[HARGA JUAL]*Table2423256789101112[TERJUAL])</f>
        <v>0</v>
      </c>
      <c r="K38" s="143">
        <f>Table2423256789101112[HARGA JUAL]*Table2423256789101112[SISA]</f>
        <v>3200000</v>
      </c>
      <c r="L38" s="144">
        <f>Table2423256789101112[HARGA POKOK]*Table2423256789101112[STOK]</f>
        <v>2200000</v>
      </c>
      <c r="M38" s="144">
        <f>Table2423256789101112[HARGA JUAL]*Table2423256789101112[STOK]</f>
        <v>3200000</v>
      </c>
      <c r="N38" s="145"/>
    </row>
    <row r="39" spans="1:14" x14ac:dyDescent="0.25">
      <c r="A39" s="137">
        <v>35</v>
      </c>
      <c r="B39" s="138" t="s">
        <v>31</v>
      </c>
      <c r="C39" s="138" t="s">
        <v>180</v>
      </c>
      <c r="D39" s="140">
        <v>21500</v>
      </c>
      <c r="E39" s="140">
        <v>40000</v>
      </c>
      <c r="F39" s="141">
        <v>113</v>
      </c>
      <c r="G39" s="142">
        <v>6</v>
      </c>
      <c r="H39" s="141">
        <f>(Table2423256789101112[STOK])-(Table2423256789101112[TERJUAL])</f>
        <v>107</v>
      </c>
      <c r="I39" s="143">
        <f>(Table2423256789101112[HARGA JUAL]*Table2423256789101112[TERJUAL])-(Table2423256789101112[HARGA POKOK]*Table2423256789101112[TERJUAL])</f>
        <v>111000</v>
      </c>
      <c r="J39" s="143">
        <f>(Table2423256789101112[HARGA JUAL]*Table2423256789101112[TERJUAL])</f>
        <v>240000</v>
      </c>
      <c r="K39" s="143">
        <f>Table2423256789101112[HARGA JUAL]*Table2423256789101112[SISA]</f>
        <v>4280000</v>
      </c>
      <c r="L39" s="144">
        <f>Table2423256789101112[HARGA POKOK]*Table2423256789101112[STOK]</f>
        <v>2429500</v>
      </c>
      <c r="M39" s="144">
        <f>Table2423256789101112[HARGA JUAL]*Table2423256789101112[STOK]</f>
        <v>4520000</v>
      </c>
      <c r="N39" s="145"/>
    </row>
    <row r="40" spans="1:14" x14ac:dyDescent="0.25">
      <c r="A40" s="137">
        <v>36</v>
      </c>
      <c r="B40" s="138" t="s">
        <v>31</v>
      </c>
      <c r="C40" s="138" t="s">
        <v>62</v>
      </c>
      <c r="D40" s="140">
        <v>25000</v>
      </c>
      <c r="E40" s="140">
        <v>15000</v>
      </c>
      <c r="F40" s="141">
        <v>5</v>
      </c>
      <c r="G40" s="142">
        <v>1</v>
      </c>
      <c r="H40" s="141">
        <f>(Table2423256789101112[STOK])-(Table2423256789101112[TERJUAL])</f>
        <v>4</v>
      </c>
      <c r="I40" s="143">
        <f>(Table2423256789101112[HARGA JUAL]*Table2423256789101112[TERJUAL])-(Table2423256789101112[HARGA POKOK]*Table2423256789101112[TERJUAL])</f>
        <v>-10000</v>
      </c>
      <c r="J40" s="143">
        <f>(Table2423256789101112[HARGA JUAL]*Table2423256789101112[TERJUAL])</f>
        <v>15000</v>
      </c>
      <c r="K40" s="143">
        <f>Table2423256789101112[HARGA JUAL]*Table2423256789101112[SISA]</f>
        <v>60000</v>
      </c>
      <c r="L40" s="144">
        <f>Table2423256789101112[HARGA POKOK]*Table2423256789101112[STOK]</f>
        <v>125000</v>
      </c>
      <c r="M40" s="144">
        <f>Table2423256789101112[HARGA JUAL]*Table2423256789101112[STOK]</f>
        <v>75000</v>
      </c>
      <c r="N40" s="145"/>
    </row>
    <row r="41" spans="1:14" x14ac:dyDescent="0.25">
      <c r="A41" s="137">
        <v>37</v>
      </c>
      <c r="B41" s="138" t="s">
        <v>31</v>
      </c>
      <c r="C41" s="138" t="s">
        <v>181</v>
      </c>
      <c r="D41" s="140">
        <v>34500</v>
      </c>
      <c r="E41" s="140">
        <v>40000</v>
      </c>
      <c r="F41" s="141">
        <v>118</v>
      </c>
      <c r="G41" s="142">
        <v>1</v>
      </c>
      <c r="H41" s="141">
        <f>(Table2423256789101112[STOK])-(Table2423256789101112[TERJUAL])</f>
        <v>117</v>
      </c>
      <c r="I41" s="143">
        <f>(Table2423256789101112[HARGA JUAL]*Table2423256789101112[TERJUAL])-(Table2423256789101112[HARGA POKOK]*Table2423256789101112[TERJUAL])</f>
        <v>5500</v>
      </c>
      <c r="J41" s="143">
        <f>(Table2423256789101112[HARGA JUAL]*Table2423256789101112[TERJUAL])</f>
        <v>40000</v>
      </c>
      <c r="K41" s="143">
        <f>Table2423256789101112[HARGA JUAL]*Table2423256789101112[SISA]</f>
        <v>4680000</v>
      </c>
      <c r="L41" s="144">
        <f>Table2423256789101112[HARGA POKOK]*Table2423256789101112[STOK]</f>
        <v>4071000</v>
      </c>
      <c r="M41" s="144">
        <f>Table2423256789101112[HARGA JUAL]*Table2423256789101112[STOK]</f>
        <v>4720000</v>
      </c>
      <c r="N41" s="145"/>
    </row>
    <row r="42" spans="1:14" x14ac:dyDescent="0.25">
      <c r="A42" s="137">
        <v>38</v>
      </c>
      <c r="B42" s="138" t="s">
        <v>31</v>
      </c>
      <c r="C42" s="138" t="s">
        <v>64</v>
      </c>
      <c r="D42" s="140">
        <v>24000</v>
      </c>
      <c r="E42" s="140">
        <v>40000</v>
      </c>
      <c r="F42" s="141">
        <v>2</v>
      </c>
      <c r="G42" s="142"/>
      <c r="H42" s="141">
        <f>(Table2423256789101112[STOK])-(Table2423256789101112[TERJUAL])</f>
        <v>2</v>
      </c>
      <c r="I42" s="143">
        <f>(Table2423256789101112[HARGA JUAL]*Table2423256789101112[TERJUAL])-(Table2423256789101112[HARGA POKOK]*Table2423256789101112[TERJUAL])</f>
        <v>0</v>
      </c>
      <c r="J42" s="143">
        <f>(Table2423256789101112[HARGA JUAL]*Table2423256789101112[TERJUAL])</f>
        <v>0</v>
      </c>
      <c r="K42" s="143">
        <f>Table2423256789101112[HARGA JUAL]*Table2423256789101112[SISA]</f>
        <v>80000</v>
      </c>
      <c r="L42" s="144">
        <f>Table2423256789101112[HARGA POKOK]*Table2423256789101112[STOK]</f>
        <v>48000</v>
      </c>
      <c r="M42" s="144">
        <f>Table2423256789101112[HARGA JUAL]*Table2423256789101112[STOK]</f>
        <v>80000</v>
      </c>
      <c r="N42" s="145"/>
    </row>
    <row r="43" spans="1:14" x14ac:dyDescent="0.25">
      <c r="A43" s="137">
        <v>39</v>
      </c>
      <c r="B43" s="138" t="s">
        <v>31</v>
      </c>
      <c r="C43" s="138" t="s">
        <v>138</v>
      </c>
      <c r="D43" s="140">
        <v>34000</v>
      </c>
      <c r="E43" s="140">
        <v>40000</v>
      </c>
      <c r="F43" s="141">
        <v>0</v>
      </c>
      <c r="G43" s="142"/>
      <c r="H43" s="141">
        <f>(Table2423256789101112[STOK])-(Table2423256789101112[TERJUAL])</f>
        <v>0</v>
      </c>
      <c r="I43" s="143">
        <f>(Table2423256789101112[HARGA JUAL]*Table2423256789101112[TERJUAL])-(Table2423256789101112[HARGA POKOK]*Table2423256789101112[TERJUAL])</f>
        <v>0</v>
      </c>
      <c r="J43" s="143">
        <f>(Table2423256789101112[HARGA JUAL]*Table2423256789101112[TERJUAL])</f>
        <v>0</v>
      </c>
      <c r="K43" s="143">
        <f>Table2423256789101112[HARGA JUAL]*Table2423256789101112[SISA]</f>
        <v>0</v>
      </c>
      <c r="L43" s="144">
        <f>Table2423256789101112[HARGA POKOK]*Table2423256789101112[STOK]</f>
        <v>0</v>
      </c>
      <c r="M43" s="144">
        <f>Table2423256789101112[HARGA JUAL]*Table2423256789101112[STOK]</f>
        <v>0</v>
      </c>
      <c r="N43" s="145"/>
    </row>
    <row r="44" spans="1:14" x14ac:dyDescent="0.25">
      <c r="A44" s="137"/>
      <c r="B44" s="138" t="s">
        <v>31</v>
      </c>
      <c r="C44" s="138" t="s">
        <v>260</v>
      </c>
      <c r="D44" s="140"/>
      <c r="E44" s="140">
        <v>750000</v>
      </c>
      <c r="F44" s="141">
        <v>0</v>
      </c>
      <c r="G44" s="142"/>
      <c r="H44" s="141">
        <f>(Table2423256789101112[STOK])-(Table2423256789101112[TERJUAL])</f>
        <v>0</v>
      </c>
      <c r="I44" s="143">
        <f>(Table2423256789101112[HARGA JUAL]*Table2423256789101112[TERJUAL])-(Table2423256789101112[HARGA POKOK]*Table2423256789101112[TERJUAL])</f>
        <v>0</v>
      </c>
      <c r="J44" s="143">
        <f>(Table2423256789101112[HARGA JUAL]*Table2423256789101112[TERJUAL])</f>
        <v>0</v>
      </c>
      <c r="K44" s="143">
        <f>Table2423256789101112[HARGA JUAL]*Table2423256789101112[SISA]</f>
        <v>0</v>
      </c>
      <c r="L44" s="144">
        <f>Table2423256789101112[HARGA POKOK]*Table2423256789101112[STOK]</f>
        <v>0</v>
      </c>
      <c r="M44" s="144">
        <f>Table2423256789101112[HARGA JUAL]*Table2423256789101112[STOK]</f>
        <v>0</v>
      </c>
      <c r="N44" s="145"/>
    </row>
    <row r="45" spans="1:14" x14ac:dyDescent="0.25">
      <c r="A45" s="137">
        <v>40</v>
      </c>
      <c r="B45" s="138" t="s">
        <v>31</v>
      </c>
      <c r="C45" s="138" t="s">
        <v>261</v>
      </c>
      <c r="D45" s="140">
        <v>30000</v>
      </c>
      <c r="E45" s="140">
        <v>35000</v>
      </c>
      <c r="F45" s="141">
        <v>10</v>
      </c>
      <c r="G45" s="142">
        <v>2</v>
      </c>
      <c r="H45" s="141">
        <f>(Table2423256789101112[STOK])-(Table2423256789101112[TERJUAL])</f>
        <v>8</v>
      </c>
      <c r="I45" s="143">
        <f>(Table2423256789101112[HARGA JUAL]*Table2423256789101112[TERJUAL])-(Table2423256789101112[HARGA POKOK]*Table2423256789101112[TERJUAL])</f>
        <v>10000</v>
      </c>
      <c r="J45" s="143">
        <f>(Table2423256789101112[HARGA JUAL]*Table2423256789101112[TERJUAL])</f>
        <v>70000</v>
      </c>
      <c r="K45" s="143">
        <f>Table2423256789101112[HARGA JUAL]*Table2423256789101112[SISA]</f>
        <v>280000</v>
      </c>
      <c r="L45" s="144">
        <f>Table2423256789101112[HARGA POKOK]*Table2423256789101112[STOK]</f>
        <v>300000</v>
      </c>
      <c r="M45" s="144">
        <f>Table2423256789101112[HARGA JUAL]*Table2423256789101112[STOK]</f>
        <v>350000</v>
      </c>
      <c r="N45" s="145"/>
    </row>
    <row r="46" spans="1:14" x14ac:dyDescent="0.25">
      <c r="A46" s="137">
        <v>41</v>
      </c>
      <c r="B46" s="138" t="s">
        <v>31</v>
      </c>
      <c r="C46" s="138" t="s">
        <v>67</v>
      </c>
      <c r="D46" s="140">
        <v>27500</v>
      </c>
      <c r="E46" s="140">
        <v>40000</v>
      </c>
      <c r="F46" s="141">
        <v>13</v>
      </c>
      <c r="G46" s="142">
        <v>13</v>
      </c>
      <c r="H46" s="141">
        <f>(Table2423256789101112[STOK])-(Table2423256789101112[TERJUAL])</f>
        <v>0</v>
      </c>
      <c r="I46" s="143">
        <f>(Table2423256789101112[HARGA JUAL]*Table2423256789101112[TERJUAL])-(Table2423256789101112[HARGA POKOK]*Table2423256789101112[TERJUAL])</f>
        <v>162500</v>
      </c>
      <c r="J46" s="143">
        <f>(Table2423256789101112[HARGA JUAL]*Table2423256789101112[TERJUAL])</f>
        <v>520000</v>
      </c>
      <c r="K46" s="143">
        <f>Table2423256789101112[HARGA JUAL]*Table2423256789101112[SISA]</f>
        <v>0</v>
      </c>
      <c r="L46" s="144">
        <f>Table2423256789101112[HARGA POKOK]*Table2423256789101112[STOK]</f>
        <v>357500</v>
      </c>
      <c r="M46" s="144">
        <f>Table2423256789101112[HARGA JUAL]*Table2423256789101112[STOK]</f>
        <v>520000</v>
      </c>
      <c r="N46" s="145"/>
    </row>
    <row r="47" spans="1:14" x14ac:dyDescent="0.25">
      <c r="A47" s="137">
        <v>42</v>
      </c>
      <c r="B47" s="138" t="s">
        <v>31</v>
      </c>
      <c r="C47" s="138" t="s">
        <v>140</v>
      </c>
      <c r="D47" s="140">
        <v>15000</v>
      </c>
      <c r="E47" s="140">
        <v>30000</v>
      </c>
      <c r="F47" s="141">
        <v>0</v>
      </c>
      <c r="G47" s="142"/>
      <c r="H47" s="141">
        <f>(Table2423256789101112[STOK])-(Table2423256789101112[TERJUAL])</f>
        <v>0</v>
      </c>
      <c r="I47" s="143">
        <f>(Table2423256789101112[HARGA JUAL]*Table2423256789101112[TERJUAL])-(Table2423256789101112[HARGA POKOK]*Table2423256789101112[TERJUAL])</f>
        <v>0</v>
      </c>
      <c r="J47" s="143">
        <f>(Table2423256789101112[HARGA JUAL]*Table2423256789101112[TERJUAL])</f>
        <v>0</v>
      </c>
      <c r="K47" s="143">
        <f>Table2423256789101112[HARGA JUAL]*Table2423256789101112[SISA]</f>
        <v>0</v>
      </c>
      <c r="L47" s="144">
        <f>Table2423256789101112[HARGA POKOK]*Table2423256789101112[STOK]</f>
        <v>0</v>
      </c>
      <c r="M47" s="144">
        <f>Table2423256789101112[HARGA JUAL]*Table2423256789101112[STOK]</f>
        <v>0</v>
      </c>
      <c r="N47" s="145"/>
    </row>
    <row r="48" spans="1:14" x14ac:dyDescent="0.25">
      <c r="A48" s="137">
        <v>43</v>
      </c>
      <c r="B48" s="138" t="s">
        <v>31</v>
      </c>
      <c r="C48" s="138" t="s">
        <v>137</v>
      </c>
      <c r="D48" s="140">
        <v>190000</v>
      </c>
      <c r="E48" s="140">
        <v>200000</v>
      </c>
      <c r="F48" s="141">
        <v>0</v>
      </c>
      <c r="G48" s="142"/>
      <c r="H48" s="141">
        <f>(Table2423256789101112[STOK])-(Table2423256789101112[TERJUAL])</f>
        <v>0</v>
      </c>
      <c r="I48" s="143">
        <f>(Table2423256789101112[HARGA JUAL]*Table2423256789101112[TERJUAL])-(Table2423256789101112[HARGA POKOK]*Table2423256789101112[TERJUAL])</f>
        <v>0</v>
      </c>
      <c r="J48" s="143">
        <f>(Table2423256789101112[HARGA JUAL]*Table2423256789101112[TERJUAL])</f>
        <v>0</v>
      </c>
      <c r="K48" s="143">
        <f>Table2423256789101112[HARGA JUAL]*Table2423256789101112[SISA]</f>
        <v>0</v>
      </c>
      <c r="L48" s="144">
        <f>Table2423256789101112[HARGA POKOK]*Table2423256789101112[STOK]</f>
        <v>0</v>
      </c>
      <c r="M48" s="144">
        <f>Table2423256789101112[HARGA JUAL]*Table2423256789101112[STOK]</f>
        <v>0</v>
      </c>
      <c r="N48" s="145"/>
    </row>
    <row r="49" spans="1:14" x14ac:dyDescent="0.25">
      <c r="A49" s="137">
        <v>44</v>
      </c>
      <c r="B49" s="138" t="s">
        <v>31</v>
      </c>
      <c r="C49" s="138" t="s">
        <v>139</v>
      </c>
      <c r="D49" s="140">
        <v>16000</v>
      </c>
      <c r="E49" s="140">
        <v>25000</v>
      </c>
      <c r="F49" s="141">
        <v>5</v>
      </c>
      <c r="G49" s="142"/>
      <c r="H49" s="141">
        <f>(Table2423256789101112[STOK])-(Table2423256789101112[TERJUAL])</f>
        <v>5</v>
      </c>
      <c r="I49" s="143">
        <f>(Table2423256789101112[HARGA JUAL]*Table2423256789101112[TERJUAL])-(Table2423256789101112[HARGA POKOK]*Table2423256789101112[TERJUAL])</f>
        <v>0</v>
      </c>
      <c r="J49" s="143">
        <f>(Table2423256789101112[HARGA JUAL]*Table2423256789101112[TERJUAL])</f>
        <v>0</v>
      </c>
      <c r="K49" s="143">
        <f>Table2423256789101112[HARGA JUAL]*Table2423256789101112[SISA]</f>
        <v>125000</v>
      </c>
      <c r="L49" s="144">
        <f>Table2423256789101112[HARGA POKOK]*Table2423256789101112[STOK]</f>
        <v>80000</v>
      </c>
      <c r="M49" s="144">
        <f>Table2423256789101112[HARGA JUAL]*Table2423256789101112[STOK]</f>
        <v>125000</v>
      </c>
      <c r="N49" s="145"/>
    </row>
    <row r="50" spans="1:14" x14ac:dyDescent="0.25">
      <c r="A50" s="137">
        <v>45</v>
      </c>
      <c r="B50" s="138" t="s">
        <v>31</v>
      </c>
      <c r="C50" s="138" t="s">
        <v>134</v>
      </c>
      <c r="D50" s="140">
        <v>18000</v>
      </c>
      <c r="E50" s="140">
        <v>30000</v>
      </c>
      <c r="F50" s="141">
        <v>1</v>
      </c>
      <c r="G50" s="142">
        <v>1</v>
      </c>
      <c r="H50" s="141">
        <f>(Table2423256789101112[STOK])-(Table2423256789101112[TERJUAL])</f>
        <v>0</v>
      </c>
      <c r="I50" s="143">
        <f>(Table2423256789101112[HARGA JUAL]*Table2423256789101112[TERJUAL])-(Table2423256789101112[HARGA POKOK]*Table2423256789101112[TERJUAL])</f>
        <v>12000</v>
      </c>
      <c r="J50" s="143">
        <f>(Table2423256789101112[HARGA JUAL]*Table2423256789101112[TERJUAL])</f>
        <v>30000</v>
      </c>
      <c r="K50" s="143">
        <f>Table2423256789101112[HARGA JUAL]*Table2423256789101112[SISA]</f>
        <v>0</v>
      </c>
      <c r="L50" s="144">
        <f>Table2423256789101112[HARGA POKOK]*Table2423256789101112[STOK]</f>
        <v>18000</v>
      </c>
      <c r="M50" s="144">
        <f>Table2423256789101112[HARGA JUAL]*Table2423256789101112[STOK]</f>
        <v>30000</v>
      </c>
      <c r="N50" s="145"/>
    </row>
    <row r="51" spans="1:14" x14ac:dyDescent="0.25">
      <c r="A51" s="137">
        <v>46</v>
      </c>
      <c r="B51" s="138" t="s">
        <v>31</v>
      </c>
      <c r="C51" s="138" t="s">
        <v>183</v>
      </c>
      <c r="D51" s="140">
        <v>18000</v>
      </c>
      <c r="E51" s="140">
        <v>30000</v>
      </c>
      <c r="F51" s="141">
        <v>11</v>
      </c>
      <c r="G51" s="142">
        <v>1</v>
      </c>
      <c r="H51" s="141">
        <f>(Table2423256789101112[STOK])-(Table2423256789101112[TERJUAL])</f>
        <v>10</v>
      </c>
      <c r="I51" s="143">
        <f>(Table2423256789101112[HARGA JUAL]*Table2423256789101112[TERJUAL])-(Table2423256789101112[HARGA POKOK]*Table2423256789101112[TERJUAL])</f>
        <v>12000</v>
      </c>
      <c r="J51" s="143">
        <f>(Table2423256789101112[HARGA JUAL]*Table2423256789101112[TERJUAL])</f>
        <v>30000</v>
      </c>
      <c r="K51" s="143">
        <f>Table2423256789101112[HARGA JUAL]*Table2423256789101112[SISA]</f>
        <v>300000</v>
      </c>
      <c r="L51" s="144">
        <f>Table2423256789101112[HARGA POKOK]*Table2423256789101112[STOK]</f>
        <v>198000</v>
      </c>
      <c r="M51" s="144">
        <f>Table2423256789101112[HARGA JUAL]*Table2423256789101112[STOK]</f>
        <v>330000</v>
      </c>
      <c r="N51" s="145"/>
    </row>
    <row r="52" spans="1:14" x14ac:dyDescent="0.25">
      <c r="A52" s="137">
        <v>47</v>
      </c>
      <c r="B52" s="138" t="s">
        <v>31</v>
      </c>
      <c r="C52" s="193" t="s">
        <v>184</v>
      </c>
      <c r="D52" s="140">
        <v>12500</v>
      </c>
      <c r="E52" s="140">
        <v>30000</v>
      </c>
      <c r="F52" s="141">
        <v>100</v>
      </c>
      <c r="G52" s="142">
        <v>3</v>
      </c>
      <c r="H52" s="141">
        <f>(Table2423256789101112[STOK])-(Table2423256789101112[TERJUAL])</f>
        <v>97</v>
      </c>
      <c r="I52" s="143">
        <f>(Table2423256789101112[HARGA JUAL]*Table2423256789101112[TERJUAL])-(Table2423256789101112[HARGA POKOK]*Table2423256789101112[TERJUAL])</f>
        <v>52500</v>
      </c>
      <c r="J52" s="143">
        <f>(Table2423256789101112[HARGA JUAL]*Table2423256789101112[TERJUAL])</f>
        <v>90000</v>
      </c>
      <c r="K52" s="143">
        <f>Table2423256789101112[HARGA JUAL]*Table2423256789101112[SISA]</f>
        <v>2910000</v>
      </c>
      <c r="L52" s="144">
        <f>Table2423256789101112[HARGA POKOK]*Table2423256789101112[STOK]</f>
        <v>1250000</v>
      </c>
      <c r="M52" s="144">
        <f>Table2423256789101112[HARGA JUAL]*Table2423256789101112[STOK]</f>
        <v>3000000</v>
      </c>
      <c r="N52" s="145"/>
    </row>
    <row r="53" spans="1:14" x14ac:dyDescent="0.25">
      <c r="A53" s="137">
        <v>48</v>
      </c>
      <c r="B53" s="138" t="s">
        <v>31</v>
      </c>
      <c r="C53" s="138" t="s">
        <v>185</v>
      </c>
      <c r="D53" s="140">
        <v>28500</v>
      </c>
      <c r="E53" s="140">
        <v>40000</v>
      </c>
      <c r="F53" s="141">
        <v>52</v>
      </c>
      <c r="G53" s="142">
        <v>7</v>
      </c>
      <c r="H53" s="141">
        <f>(Table2423256789101112[STOK])-(Table2423256789101112[TERJUAL])</f>
        <v>45</v>
      </c>
      <c r="I53" s="143">
        <f>(Table2423256789101112[HARGA JUAL]*Table2423256789101112[TERJUAL])-(Table2423256789101112[HARGA POKOK]*Table2423256789101112[TERJUAL])</f>
        <v>80500</v>
      </c>
      <c r="J53" s="143">
        <f>(Table2423256789101112[HARGA JUAL]*Table2423256789101112[TERJUAL])</f>
        <v>280000</v>
      </c>
      <c r="K53" s="143">
        <f>Table2423256789101112[HARGA JUAL]*Table2423256789101112[SISA]</f>
        <v>1800000</v>
      </c>
      <c r="L53" s="144">
        <f>Table2423256789101112[HARGA POKOK]*Table2423256789101112[STOK]</f>
        <v>1482000</v>
      </c>
      <c r="M53" s="144">
        <f>Table2423256789101112[HARGA JUAL]*Table2423256789101112[STOK]</f>
        <v>2080000</v>
      </c>
      <c r="N53" s="145"/>
    </row>
    <row r="54" spans="1:14" x14ac:dyDescent="0.25">
      <c r="A54" s="137">
        <v>49</v>
      </c>
      <c r="B54" s="138" t="s">
        <v>31</v>
      </c>
      <c r="C54" s="138" t="s">
        <v>186</v>
      </c>
      <c r="D54" s="140">
        <v>48500</v>
      </c>
      <c r="E54" s="140">
        <v>65000</v>
      </c>
      <c r="F54" s="141">
        <v>9</v>
      </c>
      <c r="G54" s="142"/>
      <c r="H54" s="141">
        <f>(Table2423256789101112[STOK])-(Table2423256789101112[TERJUAL])</f>
        <v>9</v>
      </c>
      <c r="I54" s="143">
        <f>(Table2423256789101112[HARGA JUAL]*Table2423256789101112[TERJUAL])-(Table2423256789101112[HARGA POKOK]*Table2423256789101112[TERJUAL])</f>
        <v>0</v>
      </c>
      <c r="J54" s="143">
        <f>(Table2423256789101112[HARGA JUAL]*Table2423256789101112[TERJUAL])</f>
        <v>0</v>
      </c>
      <c r="K54" s="143">
        <f>Table2423256789101112[HARGA JUAL]*Table2423256789101112[SISA]</f>
        <v>585000</v>
      </c>
      <c r="L54" s="144">
        <f>Table2423256789101112[HARGA POKOK]*Table2423256789101112[STOK]</f>
        <v>436500</v>
      </c>
      <c r="M54" s="144">
        <f>Table2423256789101112[HARGA JUAL]*Table2423256789101112[STOK]</f>
        <v>585000</v>
      </c>
      <c r="N54" s="145"/>
    </row>
    <row r="55" spans="1:14" x14ac:dyDescent="0.25">
      <c r="A55" s="137">
        <v>50</v>
      </c>
      <c r="B55" s="138" t="s">
        <v>31</v>
      </c>
      <c r="C55" s="138" t="s">
        <v>187</v>
      </c>
      <c r="D55" s="140">
        <v>47500</v>
      </c>
      <c r="E55" s="140">
        <v>65000</v>
      </c>
      <c r="F55" s="141">
        <v>66</v>
      </c>
      <c r="G55" s="142">
        <v>7</v>
      </c>
      <c r="H55" s="141">
        <f>(Table2423256789101112[STOK])-(Table2423256789101112[TERJUAL])</f>
        <v>59</v>
      </c>
      <c r="I55" s="143">
        <f>(Table2423256789101112[HARGA JUAL]*Table2423256789101112[TERJUAL])-(Table2423256789101112[HARGA POKOK]*Table2423256789101112[TERJUAL])</f>
        <v>122500</v>
      </c>
      <c r="J55" s="143">
        <f>(Table2423256789101112[HARGA JUAL]*Table2423256789101112[TERJUAL])</f>
        <v>455000</v>
      </c>
      <c r="K55" s="143">
        <f>Table2423256789101112[HARGA JUAL]*Table2423256789101112[SISA]</f>
        <v>3835000</v>
      </c>
      <c r="L55" s="144">
        <f>Table2423256789101112[HARGA POKOK]*Table2423256789101112[STOK]</f>
        <v>3135000</v>
      </c>
      <c r="M55" s="144">
        <f>Table2423256789101112[HARGA JUAL]*Table2423256789101112[STOK]</f>
        <v>4290000</v>
      </c>
      <c r="N55" s="145"/>
    </row>
    <row r="56" spans="1:14" x14ac:dyDescent="0.25">
      <c r="A56" s="137">
        <v>51</v>
      </c>
      <c r="B56" s="138" t="s">
        <v>32</v>
      </c>
      <c r="C56" s="193" t="s">
        <v>18</v>
      </c>
      <c r="D56" s="140">
        <v>1700</v>
      </c>
      <c r="E56" s="140">
        <v>5000</v>
      </c>
      <c r="F56" s="141">
        <v>35</v>
      </c>
      <c r="G56" s="142">
        <v>33</v>
      </c>
      <c r="H56" s="141">
        <f>(Table2423256789101112[STOK])-(Table2423256789101112[TERJUAL])</f>
        <v>2</v>
      </c>
      <c r="I56" s="143">
        <f>(Table2423256789101112[HARGA JUAL]*Table2423256789101112[TERJUAL])-(Table2423256789101112[HARGA POKOK]*Table2423256789101112[TERJUAL])</f>
        <v>108900</v>
      </c>
      <c r="J56" s="143">
        <f>(Table2423256789101112[HARGA JUAL]*Table2423256789101112[TERJUAL])</f>
        <v>165000</v>
      </c>
      <c r="K56" s="143">
        <f>Table2423256789101112[HARGA JUAL]*Table2423256789101112[SISA]</f>
        <v>10000</v>
      </c>
      <c r="L56" s="144">
        <f>Table2423256789101112[HARGA POKOK]*Table2423256789101112[STOK]</f>
        <v>59500</v>
      </c>
      <c r="M56" s="144">
        <f>Table2423256789101112[HARGA JUAL]*Table2423256789101112[STOK]</f>
        <v>175000</v>
      </c>
      <c r="N56" s="145"/>
    </row>
    <row r="57" spans="1:14" x14ac:dyDescent="0.25">
      <c r="A57" s="137">
        <v>52</v>
      </c>
      <c r="B57" s="138" t="s">
        <v>32</v>
      </c>
      <c r="C57" s="138" t="s">
        <v>21</v>
      </c>
      <c r="D57" s="140">
        <v>30000</v>
      </c>
      <c r="E57" s="140">
        <v>45000</v>
      </c>
      <c r="F57" s="141">
        <v>8</v>
      </c>
      <c r="G57" s="142"/>
      <c r="H57" s="141">
        <f>(Table2423256789101112[STOK])-(Table2423256789101112[TERJUAL])</f>
        <v>8</v>
      </c>
      <c r="I57" s="143">
        <f>(Table2423256789101112[HARGA JUAL]*Table2423256789101112[TERJUAL])-(Table2423256789101112[HARGA POKOK]*Table2423256789101112[TERJUAL])</f>
        <v>0</v>
      </c>
      <c r="J57" s="143">
        <f>(Table2423256789101112[HARGA JUAL]*Table2423256789101112[TERJUAL])</f>
        <v>0</v>
      </c>
      <c r="K57" s="143">
        <f>Table2423256789101112[HARGA JUAL]*Table2423256789101112[SISA]</f>
        <v>360000</v>
      </c>
      <c r="L57" s="144">
        <f>Table2423256789101112[HARGA POKOK]*Table2423256789101112[STOK]</f>
        <v>240000</v>
      </c>
      <c r="M57" s="144">
        <f>Table2423256789101112[HARGA JUAL]*Table2423256789101112[STOK]</f>
        <v>360000</v>
      </c>
      <c r="N57" s="145"/>
    </row>
    <row r="58" spans="1:14" x14ac:dyDescent="0.25">
      <c r="A58" s="137">
        <v>53</v>
      </c>
      <c r="B58" s="138" t="s">
        <v>32</v>
      </c>
      <c r="C58" s="138" t="s">
        <v>20</v>
      </c>
      <c r="D58" s="140">
        <v>1500</v>
      </c>
      <c r="E58" s="140">
        <v>5000</v>
      </c>
      <c r="F58" s="141">
        <v>84</v>
      </c>
      <c r="G58" s="142">
        <v>1</v>
      </c>
      <c r="H58" s="141">
        <f>(Table2423256789101112[STOK])-(Table2423256789101112[TERJUAL])</f>
        <v>83</v>
      </c>
      <c r="I58" s="143">
        <f>(Table2423256789101112[HARGA JUAL]*Table2423256789101112[TERJUAL])-(Table2423256789101112[HARGA POKOK]*Table2423256789101112[TERJUAL])</f>
        <v>3500</v>
      </c>
      <c r="J58" s="143">
        <f>(Table2423256789101112[HARGA JUAL]*Table2423256789101112[TERJUAL])</f>
        <v>5000</v>
      </c>
      <c r="K58" s="143">
        <f>Table2423256789101112[HARGA JUAL]*Table2423256789101112[SISA]</f>
        <v>415000</v>
      </c>
      <c r="L58" s="144">
        <f>Table2423256789101112[HARGA POKOK]*Table2423256789101112[STOK]</f>
        <v>126000</v>
      </c>
      <c r="M58" s="144">
        <f>Table2423256789101112[HARGA JUAL]*Table2423256789101112[STOK]</f>
        <v>420000</v>
      </c>
      <c r="N58" s="145"/>
    </row>
    <row r="59" spans="1:14" x14ac:dyDescent="0.25">
      <c r="A59" s="137">
        <v>54</v>
      </c>
      <c r="B59" s="138" t="s">
        <v>32</v>
      </c>
      <c r="C59" s="138" t="s">
        <v>23</v>
      </c>
      <c r="D59" s="140">
        <v>30000</v>
      </c>
      <c r="E59" s="140">
        <v>40000</v>
      </c>
      <c r="F59" s="141">
        <v>9</v>
      </c>
      <c r="G59" s="142"/>
      <c r="H59" s="141">
        <f>(Table2423256789101112[STOK])-(Table2423256789101112[TERJUAL])</f>
        <v>9</v>
      </c>
      <c r="I59" s="143">
        <f>(Table2423256789101112[HARGA JUAL]*Table2423256789101112[TERJUAL])-(Table2423256789101112[HARGA POKOK]*Table2423256789101112[TERJUAL])</f>
        <v>0</v>
      </c>
      <c r="J59" s="143">
        <f>(Table2423256789101112[HARGA JUAL]*Table2423256789101112[TERJUAL])</f>
        <v>0</v>
      </c>
      <c r="K59" s="143">
        <f>Table2423256789101112[HARGA JUAL]*Table2423256789101112[SISA]</f>
        <v>360000</v>
      </c>
      <c r="L59" s="144">
        <f>Table2423256789101112[HARGA POKOK]*Table2423256789101112[STOK]</f>
        <v>270000</v>
      </c>
      <c r="M59" s="144">
        <f>Table2423256789101112[HARGA JUAL]*Table2423256789101112[STOK]</f>
        <v>360000</v>
      </c>
      <c r="N59" s="145"/>
    </row>
    <row r="60" spans="1:14" x14ac:dyDescent="0.25">
      <c r="A60" s="137">
        <v>55</v>
      </c>
      <c r="B60" s="138" t="s">
        <v>32</v>
      </c>
      <c r="C60" s="138" t="s">
        <v>19</v>
      </c>
      <c r="D60" s="140">
        <v>1600</v>
      </c>
      <c r="E60" s="140">
        <v>5000</v>
      </c>
      <c r="F60" s="141">
        <v>148</v>
      </c>
      <c r="G60" s="142">
        <v>9</v>
      </c>
      <c r="H60" s="141">
        <f>(Table2423256789101112[STOK])-(Table2423256789101112[TERJUAL])</f>
        <v>139</v>
      </c>
      <c r="I60" s="143">
        <f>(Table2423256789101112[HARGA JUAL]*Table2423256789101112[TERJUAL])-(Table2423256789101112[HARGA POKOK]*Table2423256789101112[TERJUAL])</f>
        <v>30600</v>
      </c>
      <c r="J60" s="143">
        <f>(Table2423256789101112[HARGA JUAL]*Table2423256789101112[TERJUAL])</f>
        <v>45000</v>
      </c>
      <c r="K60" s="143">
        <f>Table2423256789101112[HARGA JUAL]*Table2423256789101112[SISA]</f>
        <v>695000</v>
      </c>
      <c r="L60" s="144">
        <f>Table2423256789101112[HARGA POKOK]*Table2423256789101112[STOK]</f>
        <v>236800</v>
      </c>
      <c r="M60" s="144">
        <f>Table2423256789101112[HARGA JUAL]*Table2423256789101112[STOK]</f>
        <v>740000</v>
      </c>
      <c r="N60" s="145"/>
    </row>
    <row r="61" spans="1:14" x14ac:dyDescent="0.25">
      <c r="A61" s="137">
        <v>56</v>
      </c>
      <c r="B61" s="138" t="s">
        <v>32</v>
      </c>
      <c r="C61" s="138" t="s">
        <v>22</v>
      </c>
      <c r="D61" s="140">
        <v>30000</v>
      </c>
      <c r="E61" s="140">
        <v>40000</v>
      </c>
      <c r="F61" s="141">
        <v>9</v>
      </c>
      <c r="G61" s="142"/>
      <c r="H61" s="141">
        <f>(Table2423256789101112[STOK])-(Table2423256789101112[TERJUAL])</f>
        <v>9</v>
      </c>
      <c r="I61" s="143">
        <f>(Table2423256789101112[HARGA JUAL]*Table2423256789101112[TERJUAL])-(Table2423256789101112[HARGA POKOK]*Table2423256789101112[TERJUAL])</f>
        <v>0</v>
      </c>
      <c r="J61" s="143">
        <f>(Table2423256789101112[HARGA JUAL]*Table2423256789101112[TERJUAL])</f>
        <v>0</v>
      </c>
      <c r="K61" s="143">
        <f>Table2423256789101112[HARGA JUAL]*Table2423256789101112[SISA]</f>
        <v>360000</v>
      </c>
      <c r="L61" s="144">
        <f>Table2423256789101112[HARGA POKOK]*Table2423256789101112[STOK]</f>
        <v>270000</v>
      </c>
      <c r="M61" s="144">
        <f>Table2423256789101112[HARGA JUAL]*Table2423256789101112[STOK]</f>
        <v>360000</v>
      </c>
      <c r="N61" s="145"/>
    </row>
    <row r="62" spans="1:14" x14ac:dyDescent="0.25">
      <c r="A62" s="137">
        <v>57</v>
      </c>
      <c r="B62" s="138" t="s">
        <v>32</v>
      </c>
      <c r="C62" s="138" t="s">
        <v>24</v>
      </c>
      <c r="D62" s="140">
        <v>17500</v>
      </c>
      <c r="E62" s="140">
        <v>40000</v>
      </c>
      <c r="F62" s="141">
        <v>0</v>
      </c>
      <c r="G62" s="142"/>
      <c r="H62" s="141">
        <f>(Table2423256789101112[STOK])-(Table2423256789101112[TERJUAL])</f>
        <v>0</v>
      </c>
      <c r="I62" s="143">
        <f>(Table2423256789101112[HARGA JUAL]*Table2423256789101112[TERJUAL])-(Table2423256789101112[HARGA POKOK]*Table2423256789101112[TERJUAL])</f>
        <v>0</v>
      </c>
      <c r="J62" s="143">
        <f>(Table2423256789101112[HARGA JUAL]*Table2423256789101112[TERJUAL])</f>
        <v>0</v>
      </c>
      <c r="K62" s="143">
        <f>Table2423256789101112[HARGA JUAL]*Table2423256789101112[SISA]</f>
        <v>0</v>
      </c>
      <c r="L62" s="144">
        <f>Table2423256789101112[HARGA POKOK]*Table2423256789101112[STOK]</f>
        <v>0</v>
      </c>
      <c r="M62" s="144">
        <f>Table2423256789101112[HARGA JUAL]*Table2423256789101112[STOK]</f>
        <v>0</v>
      </c>
      <c r="N62" s="145"/>
    </row>
    <row r="63" spans="1:14" x14ac:dyDescent="0.25">
      <c r="A63" s="137">
        <v>58</v>
      </c>
      <c r="B63" s="138" t="s">
        <v>144</v>
      </c>
      <c r="C63" s="138" t="s">
        <v>145</v>
      </c>
      <c r="D63" s="140">
        <v>3000</v>
      </c>
      <c r="E63" s="140">
        <v>6000</v>
      </c>
      <c r="F63" s="141">
        <v>22</v>
      </c>
      <c r="G63" s="142">
        <v>7</v>
      </c>
      <c r="H63" s="141">
        <f>(Table2423256789101112[STOK])-(Table2423256789101112[TERJUAL])</f>
        <v>15</v>
      </c>
      <c r="I63" s="143">
        <f>(Table2423256789101112[HARGA JUAL]*Table2423256789101112[TERJUAL])-(Table2423256789101112[HARGA POKOK]*Table2423256789101112[TERJUAL])</f>
        <v>21000</v>
      </c>
      <c r="J63" s="143">
        <f>(Table2423256789101112[HARGA JUAL]*Table2423256789101112[TERJUAL])</f>
        <v>42000</v>
      </c>
      <c r="K63" s="143">
        <f>Table2423256789101112[HARGA JUAL]*Table2423256789101112[SISA]</f>
        <v>90000</v>
      </c>
      <c r="L63" s="144">
        <f>Table2423256789101112[HARGA POKOK]*Table2423256789101112[STOK]</f>
        <v>66000</v>
      </c>
      <c r="M63" s="144">
        <f>Table2423256789101112[HARGA JUAL]*Table2423256789101112[STOK]</f>
        <v>132000</v>
      </c>
      <c r="N63" s="145"/>
    </row>
    <row r="64" spans="1:14" x14ac:dyDescent="0.25">
      <c r="A64" s="137">
        <v>59</v>
      </c>
      <c r="B64" s="138" t="s">
        <v>33</v>
      </c>
      <c r="C64" s="138" t="s">
        <v>188</v>
      </c>
      <c r="D64" s="140">
        <v>325000</v>
      </c>
      <c r="E64" s="140">
        <v>475000</v>
      </c>
      <c r="F64" s="141">
        <v>90</v>
      </c>
      <c r="G64" s="142">
        <v>13</v>
      </c>
      <c r="H64" s="141">
        <f>(Table2423256789101112[STOK])-(Table2423256789101112[TERJUAL])</f>
        <v>77</v>
      </c>
      <c r="I64" s="143">
        <f>(Table2423256789101112[HARGA JUAL]*Table2423256789101112[TERJUAL])-(Table2423256789101112[HARGA POKOK]*Table2423256789101112[TERJUAL])</f>
        <v>1950000</v>
      </c>
      <c r="J64" s="143">
        <f>(Table2423256789101112[HARGA JUAL]*Table2423256789101112[TERJUAL])</f>
        <v>6175000</v>
      </c>
      <c r="K64" s="143">
        <f>Table2423256789101112[HARGA JUAL]*Table2423256789101112[SISA]</f>
        <v>36575000</v>
      </c>
      <c r="L64" s="144">
        <f>Table2423256789101112[HARGA POKOK]*Table2423256789101112[STOK]</f>
        <v>29250000</v>
      </c>
      <c r="M64" s="144">
        <f>Table2423256789101112[HARGA JUAL]*Table2423256789101112[STOK]</f>
        <v>42750000</v>
      </c>
      <c r="N64" s="145"/>
    </row>
    <row r="65" spans="1:14" x14ac:dyDescent="0.25">
      <c r="A65" s="137">
        <v>60</v>
      </c>
      <c r="B65" s="138" t="s">
        <v>33</v>
      </c>
      <c r="C65" s="138" t="s">
        <v>189</v>
      </c>
      <c r="D65" s="140">
        <v>452000</v>
      </c>
      <c r="E65" s="140">
        <v>560000</v>
      </c>
      <c r="F65" s="141">
        <v>1</v>
      </c>
      <c r="G65" s="142"/>
      <c r="H65" s="141">
        <f>(Table2423256789101112[STOK])-(Table2423256789101112[TERJUAL])</f>
        <v>1</v>
      </c>
      <c r="I65" s="143">
        <f>(Table2423256789101112[HARGA JUAL]*Table2423256789101112[TERJUAL])-(Table2423256789101112[HARGA POKOK]*Table2423256789101112[TERJUAL])</f>
        <v>0</v>
      </c>
      <c r="J65" s="143">
        <f>(Table2423256789101112[HARGA JUAL]*Table2423256789101112[TERJUAL])</f>
        <v>0</v>
      </c>
      <c r="K65" s="143">
        <f>Table2423256789101112[HARGA JUAL]*Table2423256789101112[SISA]</f>
        <v>560000</v>
      </c>
      <c r="L65" s="144">
        <f>Table2423256789101112[HARGA POKOK]*Table2423256789101112[STOK]</f>
        <v>452000</v>
      </c>
      <c r="M65" s="144">
        <f>Table2423256789101112[HARGA JUAL]*Table2423256789101112[STOK]</f>
        <v>560000</v>
      </c>
      <c r="N65" s="145"/>
    </row>
    <row r="66" spans="1:14" x14ac:dyDescent="0.25">
      <c r="A66" s="137">
        <v>61</v>
      </c>
      <c r="B66" s="138" t="s">
        <v>192</v>
      </c>
      <c r="C66" s="138" t="s">
        <v>142</v>
      </c>
      <c r="D66" s="140">
        <v>310000</v>
      </c>
      <c r="E66" s="140">
        <v>435000</v>
      </c>
      <c r="F66" s="141">
        <v>0</v>
      </c>
      <c r="G66" s="142"/>
      <c r="H66" s="141">
        <f>(Table2423256789101112[STOK])-(Table2423256789101112[TERJUAL])</f>
        <v>0</v>
      </c>
      <c r="I66" s="143">
        <f>(Table2423256789101112[HARGA JUAL]*Table2423256789101112[TERJUAL])-(Table2423256789101112[HARGA POKOK]*Table2423256789101112[TERJUAL])</f>
        <v>0</v>
      </c>
      <c r="J66" s="143">
        <f>(Table2423256789101112[HARGA JUAL]*Table2423256789101112[TERJUAL])</f>
        <v>0</v>
      </c>
      <c r="K66" s="143">
        <f>Table2423256789101112[HARGA JUAL]*Table2423256789101112[SISA]</f>
        <v>0</v>
      </c>
      <c r="L66" s="144">
        <f>Table2423256789101112[HARGA POKOK]*Table2423256789101112[STOK]</f>
        <v>0</v>
      </c>
      <c r="M66" s="144">
        <f>Table2423256789101112[HARGA JUAL]*Table2423256789101112[STOK]</f>
        <v>0</v>
      </c>
      <c r="N66" s="145"/>
    </row>
    <row r="67" spans="1:14" x14ac:dyDescent="0.25">
      <c r="A67" s="137">
        <v>62</v>
      </c>
      <c r="B67" s="138" t="s">
        <v>192</v>
      </c>
      <c r="C67" s="138" t="s">
        <v>190</v>
      </c>
      <c r="D67" s="140">
        <v>280000</v>
      </c>
      <c r="E67" s="140">
        <v>475000</v>
      </c>
      <c r="F67" s="141">
        <v>0</v>
      </c>
      <c r="G67" s="142"/>
      <c r="H67" s="141">
        <f>(Table2423256789101112[STOK])-(Table2423256789101112[TERJUAL])</f>
        <v>0</v>
      </c>
      <c r="I67" s="143">
        <f>(Table2423256789101112[HARGA JUAL]*Table2423256789101112[TERJUAL])-(Table2423256789101112[HARGA POKOK]*Table2423256789101112[TERJUAL])</f>
        <v>0</v>
      </c>
      <c r="J67" s="143">
        <f>(Table2423256789101112[HARGA JUAL]*Table2423256789101112[TERJUAL])</f>
        <v>0</v>
      </c>
      <c r="K67" s="143">
        <f>Table2423256789101112[HARGA JUAL]*Table2423256789101112[SISA]</f>
        <v>0</v>
      </c>
      <c r="L67" s="144">
        <f>Table2423256789101112[HARGA POKOK]*Table2423256789101112[STOK]</f>
        <v>0</v>
      </c>
      <c r="M67" s="144">
        <f>Table2423256789101112[HARGA JUAL]*Table2423256789101112[STOK]</f>
        <v>0</v>
      </c>
      <c r="N67" s="145"/>
    </row>
    <row r="68" spans="1:14" x14ac:dyDescent="0.25">
      <c r="A68" s="137">
        <v>63</v>
      </c>
      <c r="B68" s="138" t="s">
        <v>193</v>
      </c>
      <c r="C68" s="138" t="s">
        <v>191</v>
      </c>
      <c r="D68" s="140">
        <v>8800</v>
      </c>
      <c r="E68" s="140">
        <v>15000</v>
      </c>
      <c r="F68" s="141">
        <v>17</v>
      </c>
      <c r="G68" s="142">
        <v>15</v>
      </c>
      <c r="H68" s="141">
        <f>(Table2423256789101112[STOK])-(Table2423256789101112[TERJUAL])</f>
        <v>2</v>
      </c>
      <c r="I68" s="143">
        <f>(Table2423256789101112[HARGA JUAL]*Table2423256789101112[TERJUAL])-(Table2423256789101112[HARGA POKOK]*Table2423256789101112[TERJUAL])</f>
        <v>93000</v>
      </c>
      <c r="J68" s="143">
        <f>(Table2423256789101112[HARGA JUAL]*Table2423256789101112[TERJUAL])</f>
        <v>225000</v>
      </c>
      <c r="K68" s="143">
        <f>Table2423256789101112[HARGA JUAL]*Table2423256789101112[SISA]</f>
        <v>30000</v>
      </c>
      <c r="L68" s="144">
        <f>Table2423256789101112[HARGA POKOK]*Table2423256789101112[STOK]</f>
        <v>149600</v>
      </c>
      <c r="M68" s="144">
        <f>Table2423256789101112[HARGA JUAL]*Table2423256789101112[STOK]</f>
        <v>255000</v>
      </c>
      <c r="N68" s="145"/>
    </row>
    <row r="69" spans="1:14" x14ac:dyDescent="0.25">
      <c r="A69" s="137">
        <v>64</v>
      </c>
      <c r="B69" s="138" t="s">
        <v>193</v>
      </c>
      <c r="C69" s="138" t="s">
        <v>214</v>
      </c>
      <c r="D69" s="140">
        <v>8700</v>
      </c>
      <c r="E69" s="140">
        <v>15000</v>
      </c>
      <c r="F69" s="141">
        <v>9</v>
      </c>
      <c r="G69" s="142">
        <v>9</v>
      </c>
      <c r="H69" s="141">
        <f>(Table2423256789101112[STOK])-(Table2423256789101112[TERJUAL])</f>
        <v>0</v>
      </c>
      <c r="I69" s="143">
        <f>(Table2423256789101112[HARGA JUAL]*Table2423256789101112[TERJUAL])-(Table2423256789101112[HARGA POKOK]*Table2423256789101112[TERJUAL])</f>
        <v>56700</v>
      </c>
      <c r="J69" s="143">
        <f>(Table2423256789101112[HARGA JUAL]*Table2423256789101112[TERJUAL])</f>
        <v>135000</v>
      </c>
      <c r="K69" s="143">
        <f>Table2423256789101112[HARGA JUAL]*Table2423256789101112[SISA]</f>
        <v>0</v>
      </c>
      <c r="L69" s="144">
        <f>Table2423256789101112[HARGA POKOK]*Table2423256789101112[STOK]</f>
        <v>78300</v>
      </c>
      <c r="M69" s="144">
        <f>Table2423256789101112[HARGA JUAL]*Table2423256789101112[STOK]</f>
        <v>135000</v>
      </c>
      <c r="N69" s="145"/>
    </row>
    <row r="70" spans="1:14" x14ac:dyDescent="0.25">
      <c r="A70" s="137">
        <v>65</v>
      </c>
      <c r="B70" s="138" t="s">
        <v>206</v>
      </c>
      <c r="C70" s="138" t="s">
        <v>207</v>
      </c>
      <c r="D70" s="140">
        <v>12000</v>
      </c>
      <c r="E70" s="140">
        <v>28000</v>
      </c>
      <c r="F70" s="141">
        <v>0</v>
      </c>
      <c r="G70" s="142"/>
      <c r="H70" s="141">
        <f>(Table2423256789101112[STOK])-(Table2423256789101112[TERJUAL])</f>
        <v>0</v>
      </c>
      <c r="I70" s="143">
        <f>(Table2423256789101112[HARGA JUAL]*Table2423256789101112[TERJUAL])-(Table2423256789101112[HARGA POKOK]*Table2423256789101112[TERJUAL])</f>
        <v>0</v>
      </c>
      <c r="J70" s="143">
        <f>(Table2423256789101112[HARGA JUAL]*Table2423256789101112[TERJUAL])</f>
        <v>0</v>
      </c>
      <c r="K70" s="143">
        <f>Table2423256789101112[HARGA JUAL]*Table2423256789101112[SISA]</f>
        <v>0</v>
      </c>
      <c r="L70" s="144">
        <f>Table2423256789101112[HARGA POKOK]*Table2423256789101112[STOK]</f>
        <v>0</v>
      </c>
      <c r="M70" s="144">
        <f>Table2423256789101112[HARGA JUAL]*Table2423256789101112[STOK]</f>
        <v>0</v>
      </c>
      <c r="N70" s="145"/>
    </row>
    <row r="71" spans="1:14" x14ac:dyDescent="0.25">
      <c r="A71" s="137">
        <v>66</v>
      </c>
      <c r="B71" s="138" t="s">
        <v>206</v>
      </c>
      <c r="C71" s="138" t="s">
        <v>208</v>
      </c>
      <c r="D71" s="140">
        <v>21000</v>
      </c>
      <c r="E71" s="140">
        <v>45000</v>
      </c>
      <c r="F71" s="141">
        <v>3</v>
      </c>
      <c r="G71" s="142"/>
      <c r="H71" s="141">
        <f>(Table2423256789101112[STOK])-(Table2423256789101112[TERJUAL])</f>
        <v>3</v>
      </c>
      <c r="I71" s="143">
        <f>(Table2423256789101112[HARGA JUAL]*Table2423256789101112[TERJUAL])-(Table2423256789101112[HARGA POKOK]*Table2423256789101112[TERJUAL])</f>
        <v>0</v>
      </c>
      <c r="J71" s="143">
        <f>(Table2423256789101112[HARGA JUAL]*Table2423256789101112[TERJUAL])</f>
        <v>0</v>
      </c>
      <c r="K71" s="143">
        <f>Table2423256789101112[HARGA JUAL]*Table2423256789101112[SISA]</f>
        <v>135000</v>
      </c>
      <c r="L71" s="144">
        <f>Table2423256789101112[HARGA POKOK]*Table2423256789101112[STOK]</f>
        <v>63000</v>
      </c>
      <c r="M71" s="144">
        <f>Table2423256789101112[HARGA JUAL]*Table2423256789101112[STOK]</f>
        <v>135000</v>
      </c>
      <c r="N71" s="145"/>
    </row>
    <row r="72" spans="1:14" x14ac:dyDescent="0.25">
      <c r="A72" s="137">
        <v>67</v>
      </c>
      <c r="B72" s="138" t="s">
        <v>209</v>
      </c>
      <c r="C72" s="138" t="s">
        <v>210</v>
      </c>
      <c r="D72" s="140">
        <v>20000</v>
      </c>
      <c r="E72" s="140">
        <v>40000</v>
      </c>
      <c r="F72" s="141">
        <v>5</v>
      </c>
      <c r="G72" s="142"/>
      <c r="H72" s="141">
        <f>(Table2423256789101112[STOK])-(Table2423256789101112[TERJUAL])</f>
        <v>5</v>
      </c>
      <c r="I72" s="143">
        <f>(Table2423256789101112[HARGA JUAL]*Table2423256789101112[TERJUAL])-(Table2423256789101112[HARGA POKOK]*Table2423256789101112[TERJUAL])</f>
        <v>0</v>
      </c>
      <c r="J72" s="143">
        <f>(Table2423256789101112[HARGA JUAL]*Table2423256789101112[TERJUAL])</f>
        <v>0</v>
      </c>
      <c r="K72" s="143">
        <f>Table2423256789101112[HARGA JUAL]*Table2423256789101112[SISA]</f>
        <v>200000</v>
      </c>
      <c r="L72" s="144">
        <f>Table2423256789101112[HARGA POKOK]*Table2423256789101112[STOK]</f>
        <v>100000</v>
      </c>
      <c r="M72" s="144">
        <f>Table2423256789101112[HARGA JUAL]*Table2423256789101112[STOK]</f>
        <v>200000</v>
      </c>
      <c r="N72" s="145"/>
    </row>
    <row r="73" spans="1:14" x14ac:dyDescent="0.25">
      <c r="A73" s="137">
        <v>68</v>
      </c>
      <c r="B73" s="138" t="s">
        <v>209</v>
      </c>
      <c r="C73" s="138" t="s">
        <v>211</v>
      </c>
      <c r="D73" s="140">
        <v>26000</v>
      </c>
      <c r="E73" s="140">
        <v>45000</v>
      </c>
      <c r="F73" s="141">
        <v>5</v>
      </c>
      <c r="G73" s="142"/>
      <c r="H73" s="141">
        <f>(Table2423256789101112[STOK])-(Table2423256789101112[TERJUAL])</f>
        <v>5</v>
      </c>
      <c r="I73" s="143">
        <f>(Table2423256789101112[HARGA JUAL]*Table2423256789101112[TERJUAL])-(Table2423256789101112[HARGA POKOK]*Table2423256789101112[TERJUAL])</f>
        <v>0</v>
      </c>
      <c r="J73" s="143">
        <f>(Table2423256789101112[HARGA JUAL]*Table2423256789101112[TERJUAL])</f>
        <v>0</v>
      </c>
      <c r="K73" s="143">
        <f>Table2423256789101112[HARGA JUAL]*Table2423256789101112[SISA]</f>
        <v>225000</v>
      </c>
      <c r="L73" s="144">
        <f>Table2423256789101112[HARGA POKOK]*Table2423256789101112[STOK]</f>
        <v>130000</v>
      </c>
      <c r="M73" s="144">
        <f>Table2423256789101112[HARGA JUAL]*Table2423256789101112[STOK]</f>
        <v>225000</v>
      </c>
      <c r="N73" s="145"/>
    </row>
    <row r="74" spans="1:14" x14ac:dyDescent="0.25">
      <c r="A74" s="137">
        <v>69</v>
      </c>
      <c r="B74" s="138" t="s">
        <v>212</v>
      </c>
      <c r="C74" s="138" t="s">
        <v>213</v>
      </c>
      <c r="D74" s="140">
        <v>600000</v>
      </c>
      <c r="E74" s="140">
        <v>800000</v>
      </c>
      <c r="F74" s="141">
        <v>1</v>
      </c>
      <c r="G74" s="142"/>
      <c r="H74" s="141">
        <f>(Table2423256789101112[STOK])-(Table2423256789101112[TERJUAL])</f>
        <v>1</v>
      </c>
      <c r="I74" s="143">
        <f>(Table2423256789101112[HARGA JUAL]*Table2423256789101112[TERJUAL])-(Table2423256789101112[HARGA POKOK]*Table2423256789101112[TERJUAL])</f>
        <v>0</v>
      </c>
      <c r="J74" s="143">
        <f>(Table2423256789101112[HARGA JUAL]*Table2423256789101112[TERJUAL])</f>
        <v>0</v>
      </c>
      <c r="K74" s="143">
        <f>Table2423256789101112[HARGA JUAL]*Table2423256789101112[SISA]</f>
        <v>800000</v>
      </c>
      <c r="L74" s="144">
        <f>Table2423256789101112[HARGA POKOK]*Table2423256789101112[STOK]</f>
        <v>600000</v>
      </c>
      <c r="M74" s="144">
        <f>Table2423256789101112[HARGA JUAL]*Table2423256789101112[STOK]</f>
        <v>800000</v>
      </c>
      <c r="N74" s="145"/>
    </row>
    <row r="75" spans="1:14" x14ac:dyDescent="0.25">
      <c r="A75" s="192">
        <v>70</v>
      </c>
      <c r="B75" s="193" t="s">
        <v>194</v>
      </c>
      <c r="C75" s="193" t="s">
        <v>194</v>
      </c>
      <c r="D75" s="194">
        <v>30000</v>
      </c>
      <c r="E75" s="194">
        <v>40000</v>
      </c>
      <c r="F75" s="195">
        <v>0</v>
      </c>
      <c r="G75" s="196"/>
      <c r="H75" s="195">
        <f>(Table2423256789101112[STOK])-(Table2423256789101112[TERJUAL])</f>
        <v>0</v>
      </c>
      <c r="I75" s="197">
        <f>(Table2423256789101112[HARGA JUAL]*Table2423256789101112[TERJUAL])-(Table2423256789101112[HARGA POKOK]*Table2423256789101112[TERJUAL])</f>
        <v>0</v>
      </c>
      <c r="J75" s="197">
        <f>(Table2423256789101112[HARGA JUAL]*Table2423256789101112[TERJUAL])</f>
        <v>0</v>
      </c>
      <c r="K75" s="197"/>
      <c r="L75" s="198"/>
      <c r="M75" s="198"/>
      <c r="N75" s="199"/>
    </row>
    <row r="76" spans="1:14" x14ac:dyDescent="0.25">
      <c r="A76" s="137">
        <v>71</v>
      </c>
      <c r="B76" s="146" t="s">
        <v>195</v>
      </c>
      <c r="C76" s="146" t="s">
        <v>195</v>
      </c>
      <c r="D76" s="147">
        <v>30000</v>
      </c>
      <c r="E76" s="147">
        <v>40000</v>
      </c>
      <c r="F76" s="148">
        <v>0</v>
      </c>
      <c r="G76" s="149"/>
      <c r="H76" s="148">
        <f>(Table2423256789101112[STOK])-(Table2423256789101112[TERJUAL])</f>
        <v>0</v>
      </c>
      <c r="I76" s="150">
        <f>(Table2423256789101112[HARGA JUAL]*Table2423256789101112[TERJUAL])-(Table2423256789101112[HARGA POKOK]*Table2423256789101112[TERJUAL])</f>
        <v>0</v>
      </c>
      <c r="J76" s="150">
        <f>(Table2423256789101112[HARGA JUAL]*Table2423256789101112[TERJUAL])</f>
        <v>0</v>
      </c>
      <c r="K76" s="150">
        <f>Table2423256789101112[HARGA JUAL]*Table2423256789101112[SISA]</f>
        <v>0</v>
      </c>
      <c r="L76" s="151">
        <f>Table2423256789101112[HARGA POKOK]*Table2423256789101112[STOK]</f>
        <v>0</v>
      </c>
      <c r="M76" s="151">
        <f>Table2423256789101112[HARGA JUAL]*Table2423256789101112[STOK]</f>
        <v>0</v>
      </c>
      <c r="N76" s="152"/>
    </row>
    <row r="77" spans="1:14" x14ac:dyDescent="0.25">
      <c r="A77" s="192">
        <v>72</v>
      </c>
      <c r="B77" s="193" t="s">
        <v>215</v>
      </c>
      <c r="C77" s="193" t="s">
        <v>215</v>
      </c>
      <c r="D77" s="194">
        <v>310000</v>
      </c>
      <c r="E77" s="194">
        <v>410000</v>
      </c>
      <c r="F77" s="195">
        <v>0</v>
      </c>
      <c r="G77" s="196"/>
      <c r="H77" s="195">
        <f>(Table2423256789101112[STOK])-(Table2423256789101112[TERJUAL])</f>
        <v>0</v>
      </c>
      <c r="I77" s="197">
        <f>(Table2423256789101112[HARGA JUAL]*Table2423256789101112[TERJUAL])-(Table2423256789101112[HARGA POKOK]*Table2423256789101112[TERJUAL])</f>
        <v>0</v>
      </c>
      <c r="J77" s="197">
        <f>(Table2423256789101112[HARGA JUAL]*Table2423256789101112[TERJUAL])</f>
        <v>0</v>
      </c>
      <c r="K77" s="197">
        <f>Table2423256789101112[HARGA JUAL]*Table2423256789101112[SISA]</f>
        <v>0</v>
      </c>
      <c r="L77" s="198">
        <f>Table2423256789101112[HARGA POKOK]*Table2423256789101112[STOK]</f>
        <v>0</v>
      </c>
      <c r="M77" s="198">
        <f>Table2423256789101112[HARGA JUAL]*Table2423256789101112[STOK]</f>
        <v>0</v>
      </c>
      <c r="N77" s="199"/>
    </row>
    <row r="78" spans="1:14" s="180" customFormat="1" x14ac:dyDescent="0.25">
      <c r="A78" s="137">
        <v>73</v>
      </c>
      <c r="B78" s="153" t="s">
        <v>212</v>
      </c>
      <c r="C78" s="153" t="s">
        <v>213</v>
      </c>
      <c r="D78" s="154">
        <v>6000</v>
      </c>
      <c r="E78" s="154">
        <v>8000</v>
      </c>
      <c r="F78" s="155"/>
      <c r="G78" s="178">
        <v>91</v>
      </c>
      <c r="H78" s="155">
        <f>(Table2423256789101112[STOK])-(Table2423256789101112[TERJUAL])</f>
        <v>-91</v>
      </c>
      <c r="I78" s="157">
        <f>(Table2423256789101112[HARGA JUAL]*Table2423256789101112[TERJUAL])-(Table2423256789101112[HARGA POKOK]*Table2423256789101112[TERJUAL])</f>
        <v>182000</v>
      </c>
      <c r="J78" s="157">
        <f>(Table2423256789101112[HARGA JUAL]*Table2423256789101112[TERJUAL])</f>
        <v>728000</v>
      </c>
      <c r="K78" s="157"/>
      <c r="L78" s="158"/>
      <c r="M78" s="158"/>
      <c r="N78" s="179"/>
    </row>
    <row r="79" spans="1:14" s="180" customFormat="1" x14ac:dyDescent="0.25">
      <c r="A79" s="137">
        <v>74</v>
      </c>
      <c r="B79" s="153" t="s">
        <v>71</v>
      </c>
      <c r="C79" s="153" t="s">
        <v>194</v>
      </c>
      <c r="D79" s="154">
        <v>1200</v>
      </c>
      <c r="E79" s="154">
        <v>2000</v>
      </c>
      <c r="F79" s="155"/>
      <c r="G79" s="156"/>
      <c r="H79" s="155">
        <f>(Table2423256789101112[STOK])-(Table2423256789101112[TERJUAL])</f>
        <v>0</v>
      </c>
      <c r="I79" s="157">
        <f>(Table2423256789101112[HARGA JUAL]*Table2423256789101112[TERJUAL])-(Table2423256789101112[HARGA POKOK]*Table2423256789101112[TERJUAL])</f>
        <v>0</v>
      </c>
      <c r="J79" s="157">
        <f>(Table2423256789101112[HARGA JUAL]*Table2423256789101112[TERJUAL])</f>
        <v>0</v>
      </c>
      <c r="K79" s="157"/>
      <c r="L79" s="158"/>
      <c r="M79" s="158"/>
      <c r="N79" s="179"/>
    </row>
    <row r="80" spans="1:14" s="180" customFormat="1" x14ac:dyDescent="0.25">
      <c r="A80" s="137">
        <v>75</v>
      </c>
      <c r="B80" s="153" t="s">
        <v>71</v>
      </c>
      <c r="C80" s="153" t="s">
        <v>195</v>
      </c>
      <c r="D80" s="154">
        <v>700</v>
      </c>
      <c r="E80" s="154">
        <v>1200</v>
      </c>
      <c r="F80" s="155"/>
      <c r="G80" s="156"/>
      <c r="H80" s="155">
        <f>(Table2423256789101112[STOK])-(Table2423256789101112[TERJUAL])</f>
        <v>0</v>
      </c>
      <c r="I80" s="157">
        <f>(Table2423256789101112[HARGA JUAL]*Table2423256789101112[TERJUAL])-(Table2423256789101112[HARGA POKOK]*Table2423256789101112[TERJUAL])</f>
        <v>0</v>
      </c>
      <c r="J80" s="157">
        <f>(Table2423256789101112[HARGA JUAL]*Table2423256789101112[TERJUAL])</f>
        <v>0</v>
      </c>
      <c r="K80" s="157"/>
      <c r="L80" s="158"/>
      <c r="M80" s="158"/>
      <c r="N80" s="179"/>
    </row>
    <row r="81" spans="1:14" s="180" customFormat="1" x14ac:dyDescent="0.25">
      <c r="A81" s="137">
        <v>76</v>
      </c>
      <c r="B81" s="153" t="s">
        <v>68</v>
      </c>
      <c r="C81" s="153" t="s">
        <v>69</v>
      </c>
      <c r="D81" s="159">
        <v>6300</v>
      </c>
      <c r="E81" s="154">
        <v>10000</v>
      </c>
      <c r="F81" s="155"/>
      <c r="G81" s="178">
        <v>1017</v>
      </c>
      <c r="H81" s="155">
        <f>(Table2423256789101112[STOK])-(Table2423256789101112[TERJUAL])</f>
        <v>-1017</v>
      </c>
      <c r="I81" s="157">
        <f>(Table2423256789101112[HARGA JUAL]*Table2423256789101112[TERJUAL])-(Table2423256789101112[HARGA POKOK]*Table2423256789101112[TERJUAL])</f>
        <v>3762900</v>
      </c>
      <c r="J81" s="157">
        <f>(Table2423256789101112[HARGA JUAL]*Table2423256789101112[TERJUAL])</f>
        <v>10170000</v>
      </c>
      <c r="K81" s="157"/>
      <c r="L81" s="158"/>
      <c r="M81" s="158"/>
      <c r="N81" s="179"/>
    </row>
    <row r="82" spans="1:14" s="180" customFormat="1" x14ac:dyDescent="0.25">
      <c r="A82" s="137">
        <v>77</v>
      </c>
      <c r="B82" s="153" t="s">
        <v>173</v>
      </c>
      <c r="C82" s="153" t="s">
        <v>174</v>
      </c>
      <c r="D82" s="159">
        <v>9040</v>
      </c>
      <c r="E82" s="154">
        <v>12000</v>
      </c>
      <c r="F82" s="155"/>
      <c r="G82" s="156">
        <v>6</v>
      </c>
      <c r="H82" s="155">
        <f>(Table2423256789101112[STOK])-(Table2423256789101112[TERJUAL])</f>
        <v>-6</v>
      </c>
      <c r="I82" s="157">
        <f>(Table2423256789101112[HARGA JUAL]*Table2423256789101112[TERJUAL])-(Table2423256789101112[HARGA POKOK]*Table2423256789101112[TERJUAL])</f>
        <v>17760</v>
      </c>
      <c r="J82" s="157">
        <f>(Table2423256789101112[HARGA JUAL]*Table2423256789101112[TERJUAL])</f>
        <v>72000</v>
      </c>
      <c r="K82" s="157"/>
      <c r="L82" s="158"/>
      <c r="M82" s="158"/>
      <c r="N82" s="179"/>
    </row>
    <row r="83" spans="1:14" s="180" customFormat="1" x14ac:dyDescent="0.25">
      <c r="A83" s="137">
        <v>78</v>
      </c>
      <c r="B83" s="153" t="s">
        <v>146</v>
      </c>
      <c r="C83" s="153" t="s">
        <v>152</v>
      </c>
      <c r="D83" s="159">
        <v>6200</v>
      </c>
      <c r="E83" s="154">
        <v>10000</v>
      </c>
      <c r="F83" s="155"/>
      <c r="G83" s="160"/>
      <c r="H83" s="155">
        <f>(Table2423256789101112[STOK])-(Table2423256789101112[TERJUAL])</f>
        <v>0</v>
      </c>
      <c r="I83" s="157">
        <f>(Table2423256789101112[HARGA JUAL]*Table2423256789101112[TERJUAL])-(Table2423256789101112[HARGA POKOK]*Table2423256789101112[TERJUAL])</f>
        <v>0</v>
      </c>
      <c r="J83" s="157">
        <f>(Table2423256789101112[HARGA JUAL]*Table2423256789101112[TERJUAL])</f>
        <v>0</v>
      </c>
      <c r="K83" s="157"/>
      <c r="L83" s="158"/>
      <c r="M83" s="158"/>
      <c r="N83" s="179"/>
    </row>
    <row r="84" spans="1:14" s="180" customFormat="1" x14ac:dyDescent="0.25">
      <c r="A84" s="137">
        <v>79</v>
      </c>
      <c r="B84" s="153" t="s">
        <v>147</v>
      </c>
      <c r="C84" s="153" t="s">
        <v>153</v>
      </c>
      <c r="D84" s="159">
        <v>5600</v>
      </c>
      <c r="E84" s="154">
        <v>10000</v>
      </c>
      <c r="F84" s="155"/>
      <c r="G84" s="160"/>
      <c r="H84" s="155">
        <f>(Table2423256789101112[STOK])-(Table2423256789101112[TERJUAL])</f>
        <v>0</v>
      </c>
      <c r="I84" s="157">
        <f>(Table2423256789101112[HARGA JUAL]*Table2423256789101112[TERJUAL])-(Table2423256789101112[HARGA POKOK]*Table2423256789101112[TERJUAL])</f>
        <v>0</v>
      </c>
      <c r="J84" s="157">
        <f>(Table2423256789101112[HARGA JUAL]*Table2423256789101112[TERJUAL])</f>
        <v>0</v>
      </c>
      <c r="K84" s="157"/>
      <c r="L84" s="158"/>
      <c r="M84" s="158"/>
      <c r="N84" s="179"/>
    </row>
    <row r="85" spans="1:14" s="180" customFormat="1" x14ac:dyDescent="0.25">
      <c r="A85" s="137">
        <v>80</v>
      </c>
      <c r="B85" s="167" t="s">
        <v>204</v>
      </c>
      <c r="C85" s="167" t="s">
        <v>205</v>
      </c>
      <c r="D85" s="168">
        <v>13000</v>
      </c>
      <c r="E85" s="169">
        <v>15000</v>
      </c>
      <c r="F85" s="170"/>
      <c r="G85" s="171"/>
      <c r="H85" s="172">
        <f>(Table2423256789101112[STOK])-(Table2423256789101112[TERJUAL])</f>
        <v>0</v>
      </c>
      <c r="I85" s="173">
        <f>(Table2423256789101112[HARGA JUAL]*Table2423256789101112[TERJUAL])-(Table2423256789101112[HARGA POKOK]*Table2423256789101112[TERJUAL])</f>
        <v>0</v>
      </c>
      <c r="J85" s="173">
        <f>(Table2423256789101112[HARGA JUAL]*Table2423256789101112[TERJUAL])</f>
        <v>0</v>
      </c>
      <c r="K85" s="173"/>
      <c r="L85" s="174"/>
      <c r="M85" s="174"/>
      <c r="N85" s="181"/>
    </row>
    <row r="86" spans="1:14" ht="18.75" x14ac:dyDescent="0.25">
      <c r="A86" s="404" t="s">
        <v>8</v>
      </c>
      <c r="B86" s="404"/>
      <c r="C86" s="404"/>
      <c r="D86" s="404"/>
      <c r="E86" s="404"/>
      <c r="F86" s="39"/>
      <c r="G86" s="39"/>
      <c r="H86" s="40"/>
      <c r="I86" s="175">
        <f>SUM(I5:I85)</f>
        <v>8754360</v>
      </c>
      <c r="J86" s="176">
        <f>SUM(J5:J85)</f>
        <v>28175000</v>
      </c>
      <c r="K86" s="41">
        <f>SUBTOTAL(109,Table2423256789101112[TOTAL HARGA SISA BARANG])</f>
        <v>143591000</v>
      </c>
      <c r="L86" s="177">
        <f>SUM(L5:L85)</f>
        <v>119740700</v>
      </c>
      <c r="M86" s="42">
        <f>SUM(M5:M68)</f>
        <v>159301000</v>
      </c>
      <c r="N86" s="145"/>
    </row>
    <row r="87" spans="1:14" x14ac:dyDescent="0.25">
      <c r="B87" s="1"/>
      <c r="C87" s="3"/>
      <c r="G87" s="1"/>
      <c r="H87" s="11"/>
      <c r="I87" s="6"/>
      <c r="J87" s="6"/>
      <c r="K87" s="6"/>
      <c r="L87" s="1"/>
      <c r="M87" s="1"/>
    </row>
    <row r="88" spans="1:14" x14ac:dyDescent="0.25">
      <c r="A88" s="165" t="s">
        <v>241</v>
      </c>
      <c r="B88" s="28"/>
      <c r="C88" s="28"/>
      <c r="E88" s="386" t="s">
        <v>219</v>
      </c>
      <c r="F88" s="386"/>
      <c r="G88" s="386"/>
      <c r="H88" s="386"/>
      <c r="I88" s="386"/>
      <c r="J88" s="386"/>
      <c r="K88" s="231"/>
      <c r="L88" s="1"/>
      <c r="M88" s="1"/>
    </row>
    <row r="89" spans="1:14" x14ac:dyDescent="0.25">
      <c r="A89" s="165" t="s">
        <v>198</v>
      </c>
      <c r="B89" s="28"/>
      <c r="C89" s="28"/>
      <c r="E89" s="161"/>
      <c r="F89" s="161"/>
      <c r="G89" s="387"/>
      <c r="H89" s="387"/>
      <c r="I89" s="28"/>
      <c r="J89" s="28"/>
      <c r="K89" s="28"/>
      <c r="L89" s="7"/>
    </row>
    <row r="90" spans="1:14" x14ac:dyDescent="0.25">
      <c r="A90" s="165" t="s">
        <v>199</v>
      </c>
      <c r="B90" s="1"/>
      <c r="C90" s="3"/>
      <c r="E90" s="161"/>
      <c r="F90" s="161"/>
      <c r="G90" s="94"/>
      <c r="H90" s="94"/>
      <c r="I90" s="28"/>
      <c r="J90" s="28"/>
      <c r="K90" s="28"/>
      <c r="L90" s="28"/>
    </row>
    <row r="91" spans="1:14" x14ac:dyDescent="0.25">
      <c r="A91" s="165" t="s">
        <v>200</v>
      </c>
      <c r="E91" s="43" t="s">
        <v>82</v>
      </c>
      <c r="F91" s="44"/>
      <c r="G91" s="390">
        <f>SUBTOTAL(109,Table2423256789101112[TOTAL H. B. LAKU TERJUAL])</f>
        <v>28175000</v>
      </c>
      <c r="H91" s="390"/>
      <c r="I91" s="390"/>
      <c r="J91" s="43"/>
      <c r="K91" s="7"/>
      <c r="L91" s="27"/>
      <c r="M91" s="1"/>
    </row>
    <row r="92" spans="1:14" x14ac:dyDescent="0.25">
      <c r="C92" s="1"/>
      <c r="E92" s="43"/>
      <c r="F92" s="44"/>
      <c r="G92" s="232"/>
      <c r="H92" s="232"/>
      <c r="I92" s="232"/>
      <c r="J92" s="43"/>
      <c r="K92" s="7"/>
      <c r="L92" s="27"/>
      <c r="M92" s="1"/>
    </row>
    <row r="93" spans="1:14" x14ac:dyDescent="0.25">
      <c r="A93" s="233" t="s">
        <v>0</v>
      </c>
      <c r="B93" s="233" t="s">
        <v>263</v>
      </c>
      <c r="C93" s="1"/>
      <c r="E93" s="43" t="s">
        <v>83</v>
      </c>
      <c r="F93" s="45" t="s">
        <v>84</v>
      </c>
      <c r="G93" s="391">
        <v>377000</v>
      </c>
      <c r="H93" s="391"/>
      <c r="I93" s="391"/>
      <c r="J93" s="43"/>
      <c r="K93" s="7"/>
      <c r="L93" s="27"/>
      <c r="M93" s="1"/>
    </row>
    <row r="94" spans="1:14" x14ac:dyDescent="0.25">
      <c r="A94" s="228">
        <v>1</v>
      </c>
      <c r="B94" s="225" t="s">
        <v>264</v>
      </c>
      <c r="C94" s="1"/>
      <c r="E94" s="43" t="s">
        <v>8</v>
      </c>
      <c r="F94" s="43"/>
      <c r="G94" s="392">
        <f>(G91-G93)</f>
        <v>27798000</v>
      </c>
      <c r="H94" s="392"/>
      <c r="I94" s="392"/>
      <c r="J94" s="43"/>
      <c r="K94" s="7"/>
      <c r="L94" s="27"/>
      <c r="M94" s="1"/>
    </row>
    <row r="95" spans="1:14" x14ac:dyDescent="0.25">
      <c r="C95" s="1"/>
      <c r="M95" s="1"/>
    </row>
    <row r="96" spans="1:14" x14ac:dyDescent="0.25">
      <c r="A96" s="165"/>
      <c r="C96" s="1"/>
      <c r="M96" s="1"/>
    </row>
    <row r="97" spans="1:12" ht="18.75" x14ac:dyDescent="0.3">
      <c r="A97" s="360" t="s">
        <v>99</v>
      </c>
      <c r="B97" s="360"/>
      <c r="C97" s="360"/>
      <c r="D97" s="360"/>
    </row>
    <row r="98" spans="1:12" ht="18.75" x14ac:dyDescent="0.3">
      <c r="A98" s="360" t="s">
        <v>265</v>
      </c>
      <c r="B98" s="360"/>
      <c r="C98" s="360"/>
      <c r="D98" s="360"/>
    </row>
    <row r="99" spans="1:12" ht="18.75" x14ac:dyDescent="0.3">
      <c r="A99" s="360" t="s">
        <v>75</v>
      </c>
      <c r="B99" s="360"/>
      <c r="C99" s="360"/>
      <c r="D99" s="360"/>
    </row>
    <row r="100" spans="1:12" ht="15.75" x14ac:dyDescent="0.25">
      <c r="A100" s="356" t="s">
        <v>111</v>
      </c>
      <c r="B100" s="357"/>
      <c r="C100" s="356" t="s">
        <v>77</v>
      </c>
      <c r="D100" s="357"/>
      <c r="E100" s="7"/>
      <c r="F100" s="27"/>
      <c r="G100" s="7"/>
      <c r="H100" s="7"/>
      <c r="I100" s="191"/>
    </row>
    <row r="101" spans="1:12" ht="15.75" x14ac:dyDescent="0.25">
      <c r="A101" s="229" t="s">
        <v>103</v>
      </c>
      <c r="B101" s="230"/>
      <c r="C101" s="46"/>
      <c r="D101" s="203">
        <v>27798000</v>
      </c>
      <c r="E101" s="218"/>
      <c r="F101" s="220"/>
      <c r="G101" s="220"/>
      <c r="H101" s="221"/>
      <c r="I101" s="222"/>
    </row>
    <row r="102" spans="1:12" ht="15.75" x14ac:dyDescent="0.25">
      <c r="A102" s="354" t="s">
        <v>102</v>
      </c>
      <c r="B102" s="355"/>
      <c r="C102" s="46"/>
      <c r="D102" s="204"/>
      <c r="E102" s="219"/>
      <c r="F102" s="220"/>
      <c r="G102" s="220"/>
      <c r="H102" s="221"/>
      <c r="I102" s="222"/>
    </row>
    <row r="103" spans="1:12" ht="15.75" x14ac:dyDescent="0.25">
      <c r="A103" s="356" t="s">
        <v>104</v>
      </c>
      <c r="B103" s="357"/>
      <c r="C103" s="46"/>
      <c r="D103" s="203"/>
      <c r="E103" s="219"/>
      <c r="F103" s="220"/>
      <c r="G103" s="220"/>
      <c r="H103" s="221"/>
      <c r="I103" s="222"/>
    </row>
    <row r="104" spans="1:12" ht="15.75" x14ac:dyDescent="0.25">
      <c r="A104" s="350" t="s">
        <v>106</v>
      </c>
      <c r="B104" s="351"/>
      <c r="C104" s="46"/>
      <c r="D104" s="204">
        <v>19043640</v>
      </c>
      <c r="E104" s="219"/>
      <c r="F104" s="220"/>
      <c r="G104" s="220"/>
      <c r="H104" s="221"/>
      <c r="I104" s="222"/>
    </row>
    <row r="105" spans="1:12" ht="15.75" x14ac:dyDescent="0.25">
      <c r="A105" s="358" t="s">
        <v>161</v>
      </c>
      <c r="B105" s="359"/>
      <c r="C105" s="49"/>
      <c r="D105" s="205">
        <f>(D101-D104)</f>
        <v>8754360</v>
      </c>
      <c r="E105" s="218"/>
      <c r="F105" s="223"/>
      <c r="G105" s="223"/>
      <c r="H105" s="224"/>
      <c r="I105" s="224"/>
    </row>
    <row r="106" spans="1:12" ht="15.75" x14ac:dyDescent="0.25">
      <c r="A106" s="358" t="s">
        <v>158</v>
      </c>
      <c r="B106" s="359"/>
      <c r="C106" s="49"/>
      <c r="D106" s="206"/>
      <c r="F106" s="223"/>
    </row>
    <row r="107" spans="1:12" ht="15.75" x14ac:dyDescent="0.25">
      <c r="A107" s="400" t="s">
        <v>162</v>
      </c>
      <c r="B107" s="401"/>
      <c r="C107" s="49"/>
      <c r="D107" s="205">
        <f>SUM(D105:D106)</f>
        <v>8754360</v>
      </c>
      <c r="F107" s="7"/>
      <c r="G107" s="7"/>
      <c r="I107" s="186"/>
      <c r="L107" s="183"/>
    </row>
    <row r="108" spans="1:12" ht="15.75" x14ac:dyDescent="0.25">
      <c r="A108" s="346" t="s">
        <v>105</v>
      </c>
      <c r="B108" s="347"/>
      <c r="C108" s="46"/>
      <c r="D108" s="207"/>
      <c r="I108" s="186"/>
      <c r="L108" s="183"/>
    </row>
    <row r="109" spans="1:12" ht="15.75" x14ac:dyDescent="0.25">
      <c r="A109" s="348" t="s">
        <v>97</v>
      </c>
      <c r="B109" s="349"/>
      <c r="C109" s="46">
        <v>2000000</v>
      </c>
      <c r="D109" s="204"/>
      <c r="I109" s="187"/>
      <c r="L109" s="183"/>
    </row>
    <row r="110" spans="1:12" ht="15.75" x14ac:dyDescent="0.25">
      <c r="A110" s="350" t="s">
        <v>98</v>
      </c>
      <c r="B110" s="351"/>
      <c r="C110" s="46">
        <v>520000</v>
      </c>
      <c r="D110" s="204"/>
      <c r="L110" s="183"/>
    </row>
    <row r="111" spans="1:12" ht="15.75" x14ac:dyDescent="0.25">
      <c r="A111" s="113" t="s">
        <v>258</v>
      </c>
      <c r="B111" s="113"/>
      <c r="C111" s="114">
        <v>1500000</v>
      </c>
      <c r="D111" s="208"/>
    </row>
    <row r="112" spans="1:12" ht="15.75" x14ac:dyDescent="0.25">
      <c r="A112" s="238" t="s">
        <v>266</v>
      </c>
      <c r="B112" s="239"/>
      <c r="C112" s="114">
        <v>100000</v>
      </c>
      <c r="D112" s="208"/>
    </row>
    <row r="113" spans="1:4" ht="15.75" x14ac:dyDescent="0.25">
      <c r="A113" s="113" t="s">
        <v>267</v>
      </c>
      <c r="B113" s="113"/>
      <c r="C113" s="114">
        <v>197000</v>
      </c>
      <c r="D113" s="208"/>
    </row>
    <row r="114" spans="1:4" ht="15.75" x14ac:dyDescent="0.25">
      <c r="A114" s="352" t="s">
        <v>107</v>
      </c>
      <c r="B114" s="353"/>
      <c r="C114" s="51" t="s">
        <v>117</v>
      </c>
      <c r="D114" s="209">
        <f>SUM(C109:C113)</f>
        <v>4317000</v>
      </c>
    </row>
    <row r="115" spans="1:4" ht="15.75" x14ac:dyDescent="0.25">
      <c r="A115" s="344" t="s">
        <v>108</v>
      </c>
      <c r="B115" s="345"/>
      <c r="C115" s="51"/>
      <c r="D115" s="204"/>
    </row>
    <row r="116" spans="1:4" ht="15.75" x14ac:dyDescent="0.25">
      <c r="A116" s="346" t="s">
        <v>109</v>
      </c>
      <c r="B116" s="347"/>
      <c r="C116" s="48"/>
      <c r="D116" s="205">
        <f>(D107-D114)</f>
        <v>4437360</v>
      </c>
    </row>
  </sheetData>
  <mergeCells count="25">
    <mergeCell ref="A100:B100"/>
    <mergeCell ref="C100:D100"/>
    <mergeCell ref="A1:N1"/>
    <mergeCell ref="A2:N2"/>
    <mergeCell ref="A86:E86"/>
    <mergeCell ref="E88:J88"/>
    <mergeCell ref="G89:H89"/>
    <mergeCell ref="G91:I91"/>
    <mergeCell ref="G93:I93"/>
    <mergeCell ref="G94:I94"/>
    <mergeCell ref="A97:D97"/>
    <mergeCell ref="A98:D98"/>
    <mergeCell ref="A99:D99"/>
    <mergeCell ref="A116:B116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4:B114"/>
    <mergeCell ref="A115:B115"/>
  </mergeCells>
  <pageMargins left="0.7" right="0.7" top="0.75" bottom="0.75" header="0.3" footer="0.3"/>
  <pageSetup paperSize="9" scale="55" fitToHeight="0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4"/>
  <sheetViews>
    <sheetView topLeftCell="A109" workbookViewId="0">
      <selection activeCell="A120" sqref="A120:C124"/>
    </sheetView>
  </sheetViews>
  <sheetFormatPr defaultRowHeight="15" x14ac:dyDescent="0.25"/>
  <cols>
    <col min="1" max="1" width="6.140625" customWidth="1"/>
    <col min="2" max="2" width="23.42578125" customWidth="1"/>
    <col min="3" max="3" width="28" customWidth="1"/>
    <col min="4" max="4" width="18.5703125" customWidth="1"/>
    <col min="5" max="5" width="15.42578125" customWidth="1"/>
    <col min="6" max="6" width="8" customWidth="1"/>
    <col min="7" max="7" width="11.85546875" customWidth="1"/>
    <col min="8" max="8" width="1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268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s="250" customFormat="1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141">
        <v>180</v>
      </c>
      <c r="G5" s="142">
        <v>63</v>
      </c>
      <c r="H5" s="141">
        <f>(Table242325678910111213[STOK])-(Table242325678910111213[TERJUAL])</f>
        <v>117</v>
      </c>
      <c r="I5" s="143">
        <f>(Table242325678910111213[HARGA JUAL]*Table242325678910111213[TERJUAL])-(Table242325678910111213[HARGA POKOK]*Table242325678910111213[TERJUAL])</f>
        <v>1386000</v>
      </c>
      <c r="J5" s="143">
        <f>(Table242325678910111213[HARGA JUAL]*Table242325678910111213[TERJUAL])</f>
        <v>6111000</v>
      </c>
      <c r="K5" s="143">
        <f>Table242325678910111213[HARGA JUAL]*Table242325678910111213[SISA]</f>
        <v>11349000</v>
      </c>
      <c r="L5" s="144">
        <f>Table242325678910111213[HARGA POKOK]*Table242325678910111213[STOK]</f>
        <v>13500000</v>
      </c>
      <c r="M5" s="144">
        <f>Table242325678910111213[HARGA JUAL]*Table242325678910111213[STOK]</f>
        <v>17460000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141">
        <v>222</v>
      </c>
      <c r="G6" s="142">
        <v>23</v>
      </c>
      <c r="H6" s="141">
        <f>(Table242325678910111213[STOK])-(Table242325678910111213[TERJUAL])</f>
        <v>199</v>
      </c>
      <c r="I6" s="143">
        <f>(Table242325678910111213[HARGA JUAL]*Table242325678910111213[TERJUAL])-(Table242325678910111213[HARGA POKOK]*Table242325678910111213[TERJUAL])</f>
        <v>460000</v>
      </c>
      <c r="J6" s="143">
        <f>(Table242325678910111213[HARGA JUAL]*Table242325678910111213[TERJUAL])</f>
        <v>1840000</v>
      </c>
      <c r="K6" s="143">
        <f>Table242325678910111213[HARGA JUAL]*Table242325678910111213[SISA]</f>
        <v>15920000</v>
      </c>
      <c r="L6" s="144">
        <f>Table242325678910111213[HARGA POKOK]*Table242325678910111213[STOK]</f>
        <v>13320000</v>
      </c>
      <c r="M6" s="144">
        <f>Table242325678910111213[HARGA JUAL]*Table242325678910111213[STOK]</f>
        <v>17760000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52500</v>
      </c>
      <c r="E7" s="140">
        <v>70000</v>
      </c>
      <c r="F7" s="141">
        <v>9</v>
      </c>
      <c r="G7" s="142">
        <v>7</v>
      </c>
      <c r="H7" s="141">
        <f>(Table242325678910111213[STOK])-(Table242325678910111213[TERJUAL])</f>
        <v>2</v>
      </c>
      <c r="I7" s="143">
        <f>(Table242325678910111213[HARGA JUAL]*Table242325678910111213[TERJUAL])-(Table242325678910111213[HARGA POKOK]*Table242325678910111213[TERJUAL])</f>
        <v>122500</v>
      </c>
      <c r="J7" s="143">
        <f>(Table242325678910111213[HARGA JUAL]*Table242325678910111213[TERJUAL])</f>
        <v>490000</v>
      </c>
      <c r="K7" s="143">
        <f>Table242325678910111213[HARGA JUAL]*Table242325678910111213[SISA]</f>
        <v>140000</v>
      </c>
      <c r="L7" s="144">
        <f>Table242325678910111213[HARGA POKOK]*Table242325678910111213[STOK]</f>
        <v>472500</v>
      </c>
      <c r="M7" s="144">
        <f>Table242325678910111213[HARGA JUAL]*Table242325678910111213[STOK]</f>
        <v>630000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180</v>
      </c>
      <c r="G8" s="142">
        <v>48</v>
      </c>
      <c r="H8" s="141">
        <f>(Table242325678910111213[STOK])-(Table242325678910111213[TERJUAL])</f>
        <v>132</v>
      </c>
      <c r="I8" s="143">
        <f>(Table242325678910111213[HARGA JUAL]*Table242325678910111213[TERJUAL])-(Table242325678910111213[HARGA POKOK]*Table242325678910111213[TERJUAL])</f>
        <v>792000</v>
      </c>
      <c r="J8" s="143">
        <f>(Table242325678910111213[HARGA JUAL]*Table242325678910111213[TERJUAL])</f>
        <v>3936000</v>
      </c>
      <c r="K8" s="143">
        <f>Table242325678910111213[HARGA JUAL]*Table242325678910111213[SISA]</f>
        <v>10824000</v>
      </c>
      <c r="L8" s="144">
        <f>Table242325678910111213[HARGA POKOK]*Table242325678910111213[STOK]</f>
        <v>11790000</v>
      </c>
      <c r="M8" s="144">
        <f>Table242325678910111213[HARGA JUAL]*Table242325678910111213[STOK]</f>
        <v>14760000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272</v>
      </c>
      <c r="G9" s="142">
        <v>24</v>
      </c>
      <c r="H9" s="141">
        <f>(Table242325678910111213[STOK])-(Table242325678910111213[TERJUAL])</f>
        <v>248</v>
      </c>
      <c r="I9" s="143">
        <f>(Table242325678910111213[HARGA JUAL]*Table242325678910111213[TERJUAL])-(Table242325678910111213[HARGA POKOK]*Table242325678910111213[TERJUAL])</f>
        <v>516000</v>
      </c>
      <c r="J9" s="143">
        <f>(Table242325678910111213[HARGA JUAL]*Table242325678910111213[TERJUAL])</f>
        <v>1920000</v>
      </c>
      <c r="K9" s="143">
        <f>Table242325678910111213[HARGA JUAL]*Table242325678910111213[SISA]</f>
        <v>19840000</v>
      </c>
      <c r="L9" s="144">
        <f>Table242325678910111213[HARGA POKOK]*Table242325678910111213[STOK]</f>
        <v>15912000</v>
      </c>
      <c r="M9" s="144">
        <f>Table242325678910111213[HARGA JUAL]*Table242325678910111213[STOK]</f>
        <v>21760000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28</v>
      </c>
      <c r="G10" s="142">
        <v>1</v>
      </c>
      <c r="H10" s="141">
        <f>(Table242325678910111213[STOK])-(Table242325678910111213[TERJUAL])</f>
        <v>27</v>
      </c>
      <c r="I10" s="143">
        <f>(Table242325678910111213[HARGA JUAL]*Table242325678910111213[TERJUAL])-(Table242325678910111213[HARGA POKOK]*Table242325678910111213[TERJUAL])</f>
        <v>26500</v>
      </c>
      <c r="J10" s="143">
        <f>(Table242325678910111213[HARGA JUAL]*Table242325678910111213[TERJUAL])</f>
        <v>110000</v>
      </c>
      <c r="K10" s="143">
        <f>Table242325678910111213[HARGA JUAL]*Table242325678910111213[SISA]</f>
        <v>2970000</v>
      </c>
      <c r="L10" s="144">
        <f>Table242325678910111213[HARGA POKOK]*Table242325678910111213[STOK]</f>
        <v>2338000</v>
      </c>
      <c r="M10" s="144">
        <f>Table242325678910111213[HARGA JUAL]*Table242325678910111213[STOK]</f>
        <v>3080000</v>
      </c>
      <c r="N10" s="145"/>
    </row>
    <row r="11" spans="1:14" x14ac:dyDescent="0.25">
      <c r="A11" s="137">
        <v>7</v>
      </c>
      <c r="B11" s="138" t="s">
        <v>28</v>
      </c>
      <c r="C11" s="138" t="s">
        <v>38</v>
      </c>
      <c r="D11" s="140">
        <v>88500</v>
      </c>
      <c r="E11" s="140">
        <v>115000</v>
      </c>
      <c r="F11" s="141">
        <v>16</v>
      </c>
      <c r="G11" s="142"/>
      <c r="H11" s="141">
        <f>(Table242325678910111213[STOK])-(Table242325678910111213[TERJUAL])</f>
        <v>16</v>
      </c>
      <c r="I11" s="143">
        <f>(Table242325678910111213[HARGA JUAL]*Table242325678910111213[TERJUAL])-(Table242325678910111213[HARGA POKOK]*Table242325678910111213[TERJUAL])</f>
        <v>0</v>
      </c>
      <c r="J11" s="143">
        <f>(Table242325678910111213[HARGA JUAL]*Table242325678910111213[TERJUAL])</f>
        <v>0</v>
      </c>
      <c r="K11" s="143">
        <f>Table242325678910111213[HARGA JUAL]*Table242325678910111213[SISA]</f>
        <v>1840000</v>
      </c>
      <c r="L11" s="144">
        <f>Table242325678910111213[HARGA POKOK]*Table242325678910111213[STOK]</f>
        <v>1416000</v>
      </c>
      <c r="M11" s="144">
        <f>Table242325678910111213[HARGA JUAL]*Table242325678910111213[STOK]</f>
        <v>1840000</v>
      </c>
      <c r="N11" s="145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74</v>
      </c>
      <c r="G12" s="142">
        <v>3</v>
      </c>
      <c r="H12" s="141">
        <f>(Table242325678910111213[STOK])-(Table242325678910111213[TERJUAL])</f>
        <v>71</v>
      </c>
      <c r="I12" s="143">
        <f>(Table242325678910111213[HARGA JUAL]*Table242325678910111213[TERJUAL])-(Table242325678910111213[HARGA POKOK]*Table242325678910111213[TERJUAL])</f>
        <v>18000</v>
      </c>
      <c r="J12" s="143">
        <f>(Table242325678910111213[HARGA JUAL]*Table242325678910111213[TERJUAL])</f>
        <v>270000</v>
      </c>
      <c r="K12" s="143">
        <f>Table242325678910111213[HARGA JUAL]*Table242325678910111213[SISA]</f>
        <v>6390000</v>
      </c>
      <c r="L12" s="144">
        <f>Table242325678910111213[HARGA POKOK]*Table242325678910111213[STOK]</f>
        <v>6216000</v>
      </c>
      <c r="M12" s="144">
        <f>Table242325678910111213[HARGA JUAL]*Table242325678910111213[STOK]</f>
        <v>6660000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20</v>
      </c>
      <c r="G13" s="142">
        <v>2</v>
      </c>
      <c r="H13" s="141">
        <f>(Table242325678910111213[STOK])-(Table242325678910111213[TERJUAL])</f>
        <v>18</v>
      </c>
      <c r="I13" s="143">
        <f>(Table242325678910111213[HARGA JUAL]*Table242325678910111213[TERJUAL])-(Table242325678910111213[HARGA POKOK]*Table242325678910111213[TERJUAL])</f>
        <v>43000</v>
      </c>
      <c r="J13" s="143">
        <f>(Table242325678910111213[HARGA JUAL]*Table242325678910111213[TERJUAL])</f>
        <v>360000</v>
      </c>
      <c r="K13" s="143">
        <f>Table242325678910111213[HARGA JUAL]*Table242325678910111213[SISA]</f>
        <v>3240000</v>
      </c>
      <c r="L13" s="144">
        <f>Table242325678910111213[HARGA POKOK]*Table242325678910111213[STOK]</f>
        <v>3170000</v>
      </c>
      <c r="M13" s="144">
        <f>Table242325678910111213[HARGA JUAL]*Table242325678910111213[STOK]</f>
        <v>3600000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150000</v>
      </c>
      <c r="F14" s="141">
        <v>37</v>
      </c>
      <c r="G14" s="142">
        <v>3</v>
      </c>
      <c r="H14" s="141">
        <f>(Table242325678910111213[STOK])-(Table242325678910111213[TERJUAL])</f>
        <v>34</v>
      </c>
      <c r="I14" s="143">
        <f>(Table242325678910111213[HARGA JUAL]*Table242325678910111213[TERJUAL])-(Table242325678910111213[HARGA POKOK]*Table242325678910111213[TERJUAL])</f>
        <v>51000</v>
      </c>
      <c r="J14" s="143">
        <f>(Table242325678910111213[HARGA JUAL]*Table242325678910111213[TERJUAL])</f>
        <v>450000</v>
      </c>
      <c r="K14" s="143">
        <f>Table242325678910111213[HARGA JUAL]*Table242325678910111213[SISA]</f>
        <v>5100000</v>
      </c>
      <c r="L14" s="144">
        <f>Table242325678910111213[HARGA POKOK]*Table242325678910111213[STOK]</f>
        <v>4921000</v>
      </c>
      <c r="M14" s="144">
        <f>Table242325678910111213[HARGA JUAL]*Table242325678910111213[STOK]</f>
        <v>5550000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0</v>
      </c>
      <c r="G15" s="142"/>
      <c r="H15" s="141">
        <f>(Table242325678910111213[STOK])-(Table242325678910111213[TERJUAL])</f>
        <v>0</v>
      </c>
      <c r="I15" s="143">
        <f>(Table242325678910111213[HARGA JUAL]*Table242325678910111213[TERJUAL])-(Table242325678910111213[HARGA POKOK]*Table242325678910111213[TERJUAL])</f>
        <v>0</v>
      </c>
      <c r="J15" s="143">
        <f>(Table242325678910111213[HARGA JUAL]*Table242325678910111213[TERJUAL])</f>
        <v>0</v>
      </c>
      <c r="K15" s="143">
        <f>Table242325678910111213[HARGA JUAL]*Table242325678910111213[SISA]</f>
        <v>0</v>
      </c>
      <c r="L15" s="144">
        <f>Table242325678910111213[HARGA POKOK]*Table242325678910111213[STOK]</f>
        <v>0</v>
      </c>
      <c r="M15" s="144">
        <f>Table242325678910111213[HARGA JUAL]*Table242325678910111213[STOK]</f>
        <v>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11</v>
      </c>
      <c r="G16" s="142">
        <v>2</v>
      </c>
      <c r="H16" s="141">
        <f>(Table242325678910111213[STOK])-(Table242325678910111213[TERJUAL])</f>
        <v>9</v>
      </c>
      <c r="I16" s="143">
        <f>(Table242325678910111213[HARGA JUAL]*Table242325678910111213[TERJUAL])-(Table242325678910111213[HARGA POKOK]*Table242325678910111213[TERJUAL])</f>
        <v>55000</v>
      </c>
      <c r="J16" s="143">
        <f>(Table242325678910111213[HARGA JUAL]*Table242325678910111213[TERJUAL])</f>
        <v>200000</v>
      </c>
      <c r="K16" s="143">
        <f>Table242325678910111213[HARGA JUAL]*Table242325678910111213[SISA]</f>
        <v>900000</v>
      </c>
      <c r="L16" s="144">
        <f>Table242325678910111213[HARGA POKOK]*Table242325678910111213[STOK]</f>
        <v>797500</v>
      </c>
      <c r="M16" s="144">
        <f>Table242325678910111213[HARGA JUAL]*Table242325678910111213[STOK]</f>
        <v>1100000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56</v>
      </c>
      <c r="G17" s="142">
        <v>3</v>
      </c>
      <c r="H17" s="141">
        <f>(Table242325678910111213[STOK])-(Table242325678910111213[TERJUAL])</f>
        <v>53</v>
      </c>
      <c r="I17" s="143">
        <f>(Table242325678910111213[HARGA JUAL]*Table242325678910111213[TERJUAL])-(Table242325678910111213[HARGA POKOK]*Table242325678910111213[TERJUAL])</f>
        <v>57000</v>
      </c>
      <c r="J17" s="143">
        <f>(Table242325678910111213[HARGA JUAL]*Table242325678910111213[TERJUAL])</f>
        <v>255000</v>
      </c>
      <c r="K17" s="143">
        <f>Table242325678910111213[HARGA JUAL]*Table242325678910111213[SISA]</f>
        <v>4505000</v>
      </c>
      <c r="L17" s="144">
        <f>Table242325678910111213[HARGA POKOK]*Table242325678910111213[STOK]</f>
        <v>3696000</v>
      </c>
      <c r="M17" s="144">
        <f>Table242325678910111213[HARGA JUAL]*Table242325678910111213[STOK]</f>
        <v>4760000</v>
      </c>
      <c r="N17" s="145"/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565</v>
      </c>
      <c r="G18" s="142">
        <v>2</v>
      </c>
      <c r="H18" s="141">
        <f>(Table242325678910111213[STOK])-(Table242325678910111213[TERJUAL])</f>
        <v>563</v>
      </c>
      <c r="I18" s="143">
        <f>(Table242325678910111213[HARGA JUAL]*Table242325678910111213[TERJUAL])-(Table242325678910111213[HARGA POKOK]*Table242325678910111213[TERJUAL])</f>
        <v>5000</v>
      </c>
      <c r="J18" s="143">
        <f>(Table242325678910111213[HARGA JUAL]*Table242325678910111213[TERJUAL])</f>
        <v>50000</v>
      </c>
      <c r="K18" s="143">
        <f>Table242325678910111213[HARGA JUAL]*Table242325678910111213[SISA]</f>
        <v>14075000</v>
      </c>
      <c r="L18" s="144">
        <f>Table242325678910111213[HARGA POKOK]*Table242325678910111213[STOK]</f>
        <v>12712500</v>
      </c>
      <c r="M18" s="144">
        <f>Table242325678910111213[HARGA JUAL]*Table242325678910111213[STOK]</f>
        <v>14125000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39</v>
      </c>
      <c r="G19" s="142">
        <v>4</v>
      </c>
      <c r="H19" s="141">
        <f>(Table242325678910111213[STOK])-(Table242325678910111213[TERJUAL])</f>
        <v>35</v>
      </c>
      <c r="I19" s="143">
        <f>(Table242325678910111213[HARGA JUAL]*Table242325678910111213[TERJUAL])-(Table242325678910111213[HARGA POKOK]*Table242325678910111213[TERJUAL])</f>
        <v>96000</v>
      </c>
      <c r="J19" s="143">
        <f>(Table242325678910111213[HARGA JUAL]*Table242325678910111213[TERJUAL])</f>
        <v>320000</v>
      </c>
      <c r="K19" s="143">
        <f>Table242325678910111213[HARGA JUAL]*Table242325678910111213[SISA]</f>
        <v>2800000</v>
      </c>
      <c r="L19" s="144">
        <f>Table242325678910111213[HARGA POKOK]*Table242325678910111213[STOK]</f>
        <v>2184000</v>
      </c>
      <c r="M19" s="144">
        <f>Table242325678910111213[HARGA JUAL]*Table242325678910111213[STOK]</f>
        <v>3120000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13</v>
      </c>
      <c r="G20" s="142">
        <v>2</v>
      </c>
      <c r="H20" s="141">
        <f>(Table242325678910111213[STOK])-(Table242325678910111213[TERJUAL])</f>
        <v>11</v>
      </c>
      <c r="I20" s="143">
        <f>(Table242325678910111213[HARGA JUAL]*Table242325678910111213[TERJUAL])-(Table242325678910111213[HARGA POKOK]*Table242325678910111213[TERJUAL])</f>
        <v>40000</v>
      </c>
      <c r="J20" s="143">
        <f>(Table242325678910111213[HARGA JUAL]*Table242325678910111213[TERJUAL])</f>
        <v>120000</v>
      </c>
      <c r="K20" s="143">
        <f>Table242325678910111213[HARGA JUAL]*Table242325678910111213[SISA]</f>
        <v>660000</v>
      </c>
      <c r="L20" s="144">
        <f>Table242325678910111213[HARGA POKOK]*Table242325678910111213[STOK]</f>
        <v>520000</v>
      </c>
      <c r="M20" s="144">
        <f>Table242325678910111213[HARGA JUAL]*Table242325678910111213[STOK]</f>
        <v>780000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83</v>
      </c>
      <c r="G21" s="142"/>
      <c r="H21" s="141">
        <f>(Table242325678910111213[STOK])-(Table242325678910111213[TERJUAL])</f>
        <v>83</v>
      </c>
      <c r="I21" s="143">
        <f>(Table242325678910111213[HARGA JUAL]*Table242325678910111213[TERJUAL])-(Table242325678910111213[HARGA POKOK]*Table242325678910111213[TERJUAL])</f>
        <v>0</v>
      </c>
      <c r="J21" s="143">
        <f>(Table242325678910111213[HARGA JUAL]*Table242325678910111213[TERJUAL])</f>
        <v>0</v>
      </c>
      <c r="K21" s="143">
        <f>Table242325678910111213[HARGA JUAL]*Table242325678910111213[SISA]</f>
        <v>1826000</v>
      </c>
      <c r="L21" s="144">
        <f>Table242325678910111213[HARGA POKOK]*Table242325678910111213[STOK]</f>
        <v>871500</v>
      </c>
      <c r="M21" s="144">
        <f>Table242325678910111213[HARGA JUAL]*Table242325678910111213[STOK]</f>
        <v>1826000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58</v>
      </c>
      <c r="G22" s="142">
        <v>1</v>
      </c>
      <c r="H22" s="141">
        <f>(Table242325678910111213[STOK])-(Table242325678910111213[TERJUAL])</f>
        <v>57</v>
      </c>
      <c r="I22" s="143">
        <f>(Table242325678910111213[HARGA JUAL]*Table242325678910111213[TERJUAL])-(Table242325678910111213[HARGA POKOK]*Table242325678910111213[TERJUAL])</f>
        <v>20000</v>
      </c>
      <c r="J22" s="143">
        <f>(Table242325678910111213[HARGA JUAL]*Table242325678910111213[TERJUAL])</f>
        <v>80000</v>
      </c>
      <c r="K22" s="143">
        <f>Table242325678910111213[HARGA JUAL]*Table242325678910111213[SISA]</f>
        <v>4560000</v>
      </c>
      <c r="L22" s="144">
        <f>Table242325678910111213[HARGA POKOK]*Table242325678910111213[STOK]</f>
        <v>3480000</v>
      </c>
      <c r="M22" s="144">
        <f>Table242325678910111213[HARGA JUAL]*Table242325678910111213[STOK]</f>
        <v>4640000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84</v>
      </c>
      <c r="G23" s="142">
        <v>1</v>
      </c>
      <c r="H23" s="141">
        <f>(Table242325678910111213[STOK])-(Table242325678910111213[TERJUAL])</f>
        <v>83</v>
      </c>
      <c r="I23" s="143">
        <f>(Table242325678910111213[HARGA JUAL]*Table242325678910111213[TERJUAL])-(Table242325678910111213[HARGA POKOK]*Table242325678910111213[TERJUAL])</f>
        <v>10500</v>
      </c>
      <c r="J23" s="143">
        <f>(Table242325678910111213[HARGA JUAL]*Table242325678910111213[TERJUAL])</f>
        <v>25000</v>
      </c>
      <c r="K23" s="143">
        <f>Table242325678910111213[HARGA JUAL]*Table242325678910111213[SISA]</f>
        <v>2075000</v>
      </c>
      <c r="L23" s="144">
        <f>Table242325678910111213[HARGA POKOK]*Table242325678910111213[STOK]</f>
        <v>1218000</v>
      </c>
      <c r="M23" s="144">
        <f>Table242325678910111213[HARGA JUAL]*Table242325678910111213[STOK]</f>
        <v>2100000</v>
      </c>
      <c r="N23" s="145"/>
    </row>
    <row r="24" spans="1:14" x14ac:dyDescent="0.25">
      <c r="A24" s="137">
        <v>20</v>
      </c>
      <c r="B24" s="138" t="s">
        <v>28</v>
      </c>
      <c r="C24" s="138" t="s">
        <v>52</v>
      </c>
      <c r="D24" s="140">
        <v>30000</v>
      </c>
      <c r="E24" s="140">
        <v>25000</v>
      </c>
      <c r="F24" s="141">
        <v>89</v>
      </c>
      <c r="G24" s="142">
        <v>8</v>
      </c>
      <c r="H24" s="141">
        <f>(Table242325678910111213[STOK])-(Table242325678910111213[TERJUAL])</f>
        <v>81</v>
      </c>
      <c r="I24" s="143">
        <f>(Table242325678910111213[HARGA JUAL]*Table242325678910111213[TERJUAL])-(Table242325678910111213[HARGA POKOK]*Table242325678910111213[TERJUAL])</f>
        <v>-40000</v>
      </c>
      <c r="J24" s="143">
        <f>(Table242325678910111213[HARGA JUAL]*Table242325678910111213[TERJUAL])</f>
        <v>200000</v>
      </c>
      <c r="K24" s="143">
        <f>Table242325678910111213[HARGA JUAL]*Table242325678910111213[SISA]</f>
        <v>2025000</v>
      </c>
      <c r="L24" s="144">
        <f>Table242325678910111213[HARGA POKOK]*Table242325678910111213[STOK]</f>
        <v>2670000</v>
      </c>
      <c r="M24" s="144">
        <f>Table242325678910111213[HARGA JUAL]*Table242325678910111213[STOK]</f>
        <v>2225000</v>
      </c>
      <c r="N24" s="145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3000</v>
      </c>
      <c r="E25" s="140">
        <v>5000</v>
      </c>
      <c r="F25" s="141">
        <v>0</v>
      </c>
      <c r="G25" s="142"/>
      <c r="H25" s="141">
        <f>(Table242325678910111213[STOK])-(Table242325678910111213[TERJUAL])</f>
        <v>0</v>
      </c>
      <c r="I25" s="143">
        <f>(Table242325678910111213[HARGA JUAL]*Table242325678910111213[TERJUAL])-(Table242325678910111213[HARGA POKOK]*Table242325678910111213[TERJUAL])</f>
        <v>0</v>
      </c>
      <c r="J25" s="143">
        <f>(Table242325678910111213[HARGA JUAL]*Table242325678910111213[TERJUAL])</f>
        <v>0</v>
      </c>
      <c r="K25" s="143">
        <f>Table242325678910111213[HARGA JUAL]*Table242325678910111213[SISA]</f>
        <v>0</v>
      </c>
      <c r="L25" s="144">
        <f>Table242325678910111213[HARGA POKOK]*Table242325678910111213[STOK]</f>
        <v>0</v>
      </c>
      <c r="M25" s="144">
        <f>Table242325678910111213[HARGA JUAL]*Table242325678910111213[STOK]</f>
        <v>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88</v>
      </c>
      <c r="G26" s="142"/>
      <c r="H26" s="141">
        <f>(Table242325678910111213[STOK])-(Table242325678910111213[TERJUAL])</f>
        <v>88</v>
      </c>
      <c r="I26" s="143">
        <f>(Table242325678910111213[HARGA JUAL]*Table242325678910111213[TERJUAL])-(Table242325678910111213[HARGA POKOK]*Table242325678910111213[TERJUAL])</f>
        <v>0</v>
      </c>
      <c r="J26" s="143">
        <f>(Table242325678910111213[HARGA JUAL]*Table242325678910111213[TERJUAL])</f>
        <v>0</v>
      </c>
      <c r="K26" s="143">
        <f>Table242325678910111213[HARGA JUAL]*Table242325678910111213[SISA]</f>
        <v>5280000</v>
      </c>
      <c r="L26" s="144">
        <f>Table242325678910111213[HARGA POKOK]*Table242325678910111213[STOK]</f>
        <v>4180000</v>
      </c>
      <c r="M26" s="144">
        <f>Table242325678910111213[HARGA JUAL]*Table242325678910111213[STOK]</f>
        <v>5280000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7</v>
      </c>
      <c r="G27" s="142">
        <v>2</v>
      </c>
      <c r="H27" s="141">
        <f>(Table242325678910111213[STOK])-(Table242325678910111213[TERJUAL])</f>
        <v>5</v>
      </c>
      <c r="I27" s="143">
        <f>(Table242325678910111213[HARGA JUAL]*Table242325678910111213[TERJUAL])-(Table242325678910111213[HARGA POKOK]*Table242325678910111213[TERJUAL])</f>
        <v>57000</v>
      </c>
      <c r="J27" s="143">
        <f>(Table242325678910111213[HARGA JUAL]*Table242325678910111213[TERJUAL])</f>
        <v>286000</v>
      </c>
      <c r="K27" s="143">
        <f>Table242325678910111213[HARGA JUAL]*Table242325678910111213[SISA]</f>
        <v>715000</v>
      </c>
      <c r="L27" s="144">
        <f>Table242325678910111213[HARGA POKOK]*Table242325678910111213[STOK]</f>
        <v>801500</v>
      </c>
      <c r="M27" s="144">
        <f>Table242325678910111213[HARGA JUAL]*Table242325678910111213[STOK]</f>
        <v>1001000</v>
      </c>
      <c r="N27" s="145"/>
    </row>
    <row r="28" spans="1:14" x14ac:dyDescent="0.25">
      <c r="A28" s="137">
        <v>24</v>
      </c>
      <c r="B28" s="138" t="s">
        <v>29</v>
      </c>
      <c r="C28" s="138" t="s">
        <v>56</v>
      </c>
      <c r="D28" s="140">
        <v>82500</v>
      </c>
      <c r="E28" s="140">
        <v>120000</v>
      </c>
      <c r="F28" s="141">
        <v>0</v>
      </c>
      <c r="G28" s="142"/>
      <c r="H28" s="141">
        <f>(Table242325678910111213[STOK])-(Table242325678910111213[TERJUAL])</f>
        <v>0</v>
      </c>
      <c r="I28" s="143">
        <f>(Table242325678910111213[HARGA JUAL]*Table242325678910111213[TERJUAL])-(Table242325678910111213[HARGA POKOK]*Table242325678910111213[TERJUAL])</f>
        <v>0</v>
      </c>
      <c r="J28" s="143">
        <f>(Table242325678910111213[HARGA JUAL]*Table242325678910111213[TERJUAL])</f>
        <v>0</v>
      </c>
      <c r="K28" s="143">
        <f>Table242325678910111213[HARGA JUAL]*Table242325678910111213[SISA]</f>
        <v>0</v>
      </c>
      <c r="L28" s="144">
        <f>Table242325678910111213[HARGA POKOK]*Table242325678910111213[STOK]</f>
        <v>0</v>
      </c>
      <c r="M28" s="144">
        <f>Table242325678910111213[HARGA JUAL]*Table242325678910111213[STOK]</f>
        <v>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(Table242325678910111213[STOK])-(Table242325678910111213[TERJUAL])</f>
        <v>0</v>
      </c>
      <c r="I29" s="143">
        <f>(Table242325678910111213[HARGA JUAL]*Table242325678910111213[TERJUAL])-(Table242325678910111213[HARGA POKOK]*Table242325678910111213[TERJUAL])</f>
        <v>0</v>
      </c>
      <c r="J29" s="143">
        <f>(Table242325678910111213[HARGA JUAL]*Table242325678910111213[TERJUAL])</f>
        <v>0</v>
      </c>
      <c r="K29" s="143">
        <f>Table242325678910111213[HARGA JUAL]*Table242325678910111213[SISA]</f>
        <v>0</v>
      </c>
      <c r="L29" s="144">
        <f>Table242325678910111213[HARGA POKOK]*Table242325678910111213[STOK]</f>
        <v>0</v>
      </c>
      <c r="M29" s="144">
        <f>Table242325678910111213[HARGA JUAL]*Table242325678910111213[STOK]</f>
        <v>0</v>
      </c>
      <c r="N29" s="145"/>
    </row>
    <row r="30" spans="1:14" x14ac:dyDescent="0.25">
      <c r="A30" s="137">
        <v>26</v>
      </c>
      <c r="B30" s="138" t="s">
        <v>30</v>
      </c>
      <c r="C30" s="138" t="s">
        <v>58</v>
      </c>
      <c r="D30" s="140">
        <v>10000</v>
      </c>
      <c r="E30" s="140">
        <v>18000</v>
      </c>
      <c r="F30" s="141"/>
      <c r="G30" s="142"/>
      <c r="H30" s="141">
        <f>(Table242325678910111213[STOK])-(Table242325678910111213[TERJUAL])</f>
        <v>0</v>
      </c>
      <c r="I30" s="143">
        <f>(Table242325678910111213[HARGA JUAL]*Table242325678910111213[TERJUAL])-(Table242325678910111213[HARGA POKOK]*Table242325678910111213[TERJUAL])</f>
        <v>0</v>
      </c>
      <c r="J30" s="143">
        <f>(Table242325678910111213[HARGA JUAL]*Table242325678910111213[TERJUAL])</f>
        <v>0</v>
      </c>
      <c r="K30" s="143">
        <f>Table242325678910111213[HARGA JUAL]*Table242325678910111213[SISA]</f>
        <v>0</v>
      </c>
      <c r="L30" s="144">
        <f>Table242325678910111213[HARGA POKOK]*Table242325678910111213[STOK]</f>
        <v>0</v>
      </c>
      <c r="M30" s="144">
        <f>Table242325678910111213[HARGA JUAL]*Table242325678910111213[STOK]</f>
        <v>0</v>
      </c>
      <c r="N30" s="145"/>
    </row>
    <row r="31" spans="1:14" x14ac:dyDescent="0.25">
      <c r="A31" s="137">
        <v>27</v>
      </c>
      <c r="B31" s="138" t="s">
        <v>30</v>
      </c>
      <c r="C31" s="138" t="s">
        <v>59</v>
      </c>
      <c r="D31" s="140">
        <v>27500</v>
      </c>
      <c r="E31" s="140">
        <v>45000</v>
      </c>
      <c r="F31" s="141">
        <v>17</v>
      </c>
      <c r="G31" s="142"/>
      <c r="H31" s="141">
        <f>(Table242325678910111213[STOK])-(Table242325678910111213[TERJUAL])</f>
        <v>17</v>
      </c>
      <c r="I31" s="143">
        <f>(Table242325678910111213[HARGA JUAL]*Table242325678910111213[TERJUAL])-(Table242325678910111213[HARGA POKOK]*Table242325678910111213[TERJUAL])</f>
        <v>0</v>
      </c>
      <c r="J31" s="143">
        <f>(Table242325678910111213[HARGA JUAL]*Table242325678910111213[TERJUAL])</f>
        <v>0</v>
      </c>
      <c r="K31" s="143">
        <f>Table242325678910111213[HARGA JUAL]*Table242325678910111213[SISA]</f>
        <v>765000</v>
      </c>
      <c r="L31" s="144">
        <f>Table242325678910111213[HARGA POKOK]*Table242325678910111213[STOK]</f>
        <v>467500</v>
      </c>
      <c r="M31" s="144">
        <f>Table242325678910111213[HARGA JUAL]*Table242325678910111213[STOK]</f>
        <v>765000</v>
      </c>
      <c r="N31" s="145"/>
    </row>
    <row r="32" spans="1:14" x14ac:dyDescent="0.25">
      <c r="A32" s="137">
        <v>28</v>
      </c>
      <c r="B32" s="138" t="s">
        <v>30</v>
      </c>
      <c r="C32" s="138" t="s">
        <v>60</v>
      </c>
      <c r="D32" s="140">
        <v>12500</v>
      </c>
      <c r="E32" s="140">
        <v>16000</v>
      </c>
      <c r="F32" s="141">
        <v>360</v>
      </c>
      <c r="G32" s="142">
        <v>73</v>
      </c>
      <c r="H32" s="141">
        <f>(Table242325678910111213[STOK])-(Table242325678910111213[TERJUAL])</f>
        <v>287</v>
      </c>
      <c r="I32" s="143">
        <f>(Table242325678910111213[HARGA JUAL]*Table242325678910111213[TERJUAL])-(Table242325678910111213[HARGA POKOK]*Table242325678910111213[TERJUAL])</f>
        <v>255500</v>
      </c>
      <c r="J32" s="143">
        <f>(Table242325678910111213[HARGA JUAL]*Table242325678910111213[TERJUAL])</f>
        <v>1168000</v>
      </c>
      <c r="K32" s="143">
        <f>Table242325678910111213[HARGA JUAL]*Table242325678910111213[SISA]</f>
        <v>4592000</v>
      </c>
      <c r="L32" s="144">
        <f>Table242325678910111213[HARGA POKOK]*Table242325678910111213[STOK]</f>
        <v>4500000</v>
      </c>
      <c r="M32" s="144">
        <f>Table242325678910111213[HARGA JUAL]*Table242325678910111213[STOK]</f>
        <v>5760000</v>
      </c>
      <c r="N32" s="145"/>
    </row>
    <row r="33" spans="1:14" x14ac:dyDescent="0.25">
      <c r="A33" s="137">
        <v>29</v>
      </c>
      <c r="B33" s="138" t="s">
        <v>30</v>
      </c>
      <c r="C33" s="138" t="s">
        <v>13</v>
      </c>
      <c r="D33" s="140">
        <v>33500</v>
      </c>
      <c r="E33" s="140">
        <v>50000</v>
      </c>
      <c r="F33" s="141">
        <v>0</v>
      </c>
      <c r="G33" s="142"/>
      <c r="H33" s="141">
        <f>(Table242325678910111213[STOK])-(Table242325678910111213[TERJUAL])</f>
        <v>0</v>
      </c>
      <c r="I33" s="143">
        <f>(Table242325678910111213[HARGA JUAL]*Table242325678910111213[TERJUAL])-(Table242325678910111213[HARGA POKOK]*Table242325678910111213[TERJUAL])</f>
        <v>0</v>
      </c>
      <c r="J33" s="143">
        <f>(Table242325678910111213[HARGA JUAL]*Table242325678910111213[TERJUAL])</f>
        <v>0</v>
      </c>
      <c r="K33" s="143">
        <f>Table242325678910111213[HARGA JUAL]*Table242325678910111213[SISA]</f>
        <v>0</v>
      </c>
      <c r="L33" s="144">
        <f>Table242325678910111213[HARGA POKOK]*Table242325678910111213[STOK]</f>
        <v>0</v>
      </c>
      <c r="M33" s="144">
        <f>Table242325678910111213[HARGA JUAL]*Table242325678910111213[STOK]</f>
        <v>0</v>
      </c>
      <c r="N33" s="145"/>
    </row>
    <row r="34" spans="1:14" x14ac:dyDescent="0.25">
      <c r="A34" s="137">
        <v>30</v>
      </c>
      <c r="B34" s="138" t="s">
        <v>30</v>
      </c>
      <c r="C34" s="193" t="s">
        <v>14</v>
      </c>
      <c r="D34" s="140">
        <v>8500</v>
      </c>
      <c r="E34" s="140">
        <v>12000</v>
      </c>
      <c r="F34" s="141">
        <v>166</v>
      </c>
      <c r="G34" s="142">
        <v>5</v>
      </c>
      <c r="H34" s="141">
        <f>(Table242325678910111213[STOK])-(Table242325678910111213[TERJUAL])</f>
        <v>161</v>
      </c>
      <c r="I34" s="143">
        <f>(Table242325678910111213[HARGA JUAL]*Table242325678910111213[TERJUAL])-(Table242325678910111213[HARGA POKOK]*Table242325678910111213[TERJUAL])</f>
        <v>17500</v>
      </c>
      <c r="J34" s="143">
        <f>(Table242325678910111213[HARGA JUAL]*Table242325678910111213[TERJUAL])</f>
        <v>60000</v>
      </c>
      <c r="K34" s="143">
        <f>Table242325678910111213[HARGA JUAL]*Table242325678910111213[SISA]</f>
        <v>1932000</v>
      </c>
      <c r="L34" s="144">
        <f>Table242325678910111213[HARGA POKOK]*Table242325678910111213[STOK]</f>
        <v>1411000</v>
      </c>
      <c r="M34" s="144">
        <f>Table242325678910111213[HARGA JUAL]*Table242325678910111213[STOK]</f>
        <v>1992000</v>
      </c>
      <c r="N34" s="145"/>
    </row>
    <row r="35" spans="1:14" x14ac:dyDescent="0.25">
      <c r="A35" s="137">
        <v>31</v>
      </c>
      <c r="B35" s="138" t="s">
        <v>30</v>
      </c>
      <c r="C35" s="138" t="s">
        <v>15</v>
      </c>
      <c r="D35" s="140">
        <v>30500</v>
      </c>
      <c r="E35" s="140">
        <v>45000</v>
      </c>
      <c r="F35" s="141">
        <v>16</v>
      </c>
      <c r="G35" s="142">
        <v>6</v>
      </c>
      <c r="H35" s="141">
        <f>(Table242325678910111213[STOK])-(Table242325678910111213[TERJUAL])</f>
        <v>10</v>
      </c>
      <c r="I35" s="143">
        <f>(Table242325678910111213[HARGA JUAL]*Table242325678910111213[TERJUAL])-(Table242325678910111213[HARGA POKOK]*Table242325678910111213[TERJUAL])</f>
        <v>87000</v>
      </c>
      <c r="J35" s="143">
        <f>(Table242325678910111213[HARGA JUAL]*Table242325678910111213[TERJUAL])</f>
        <v>270000</v>
      </c>
      <c r="K35" s="143">
        <f>Table242325678910111213[HARGA JUAL]*Table242325678910111213[SISA]</f>
        <v>450000</v>
      </c>
      <c r="L35" s="144">
        <f>Table242325678910111213[HARGA POKOK]*Table242325678910111213[STOK]</f>
        <v>488000</v>
      </c>
      <c r="M35" s="144">
        <f>Table242325678910111213[HARGA JUAL]*Table242325678910111213[STOK]</f>
        <v>720000</v>
      </c>
      <c r="N35" s="145"/>
    </row>
    <row r="36" spans="1:14" x14ac:dyDescent="0.25">
      <c r="A36" s="137">
        <v>32</v>
      </c>
      <c r="B36" s="138" t="s">
        <v>30</v>
      </c>
      <c r="C36" s="138" t="s">
        <v>16</v>
      </c>
      <c r="D36" s="140">
        <v>7500</v>
      </c>
      <c r="E36" s="140">
        <v>10000</v>
      </c>
      <c r="F36" s="141">
        <v>153</v>
      </c>
      <c r="G36" s="142">
        <v>7</v>
      </c>
      <c r="H36" s="141">
        <f>(Table242325678910111213[STOK])-(Table242325678910111213[TERJUAL])</f>
        <v>146</v>
      </c>
      <c r="I36" s="143">
        <f>(Table242325678910111213[HARGA JUAL]*Table242325678910111213[TERJUAL])-(Table242325678910111213[HARGA POKOK]*Table242325678910111213[TERJUAL])</f>
        <v>17500</v>
      </c>
      <c r="J36" s="143">
        <f>(Table242325678910111213[HARGA JUAL]*Table242325678910111213[TERJUAL])</f>
        <v>70000</v>
      </c>
      <c r="K36" s="143">
        <f>Table242325678910111213[HARGA JUAL]*Table242325678910111213[SISA]</f>
        <v>1460000</v>
      </c>
      <c r="L36" s="144">
        <f>Table242325678910111213[HARGA POKOK]*Table242325678910111213[STOK]</f>
        <v>1147500</v>
      </c>
      <c r="M36" s="144">
        <f>Table242325678910111213[HARGA JUAL]*Table242325678910111213[STOK]</f>
        <v>1530000</v>
      </c>
      <c r="N36" s="145"/>
    </row>
    <row r="37" spans="1:14" x14ac:dyDescent="0.25">
      <c r="A37" s="137">
        <v>33</v>
      </c>
      <c r="B37" s="138" t="s">
        <v>35</v>
      </c>
      <c r="C37" s="138" t="s">
        <v>36</v>
      </c>
      <c r="D37" s="140">
        <v>51500</v>
      </c>
      <c r="E37" s="140">
        <v>65000</v>
      </c>
      <c r="F37" s="141">
        <v>33</v>
      </c>
      <c r="G37" s="142">
        <v>2</v>
      </c>
      <c r="H37" s="141">
        <f>(Table242325678910111213[STOK])-(Table242325678910111213[TERJUAL])</f>
        <v>31</v>
      </c>
      <c r="I37" s="143">
        <f>(Table242325678910111213[HARGA JUAL]*Table242325678910111213[TERJUAL])-(Table242325678910111213[HARGA POKOK]*Table242325678910111213[TERJUAL])</f>
        <v>27000</v>
      </c>
      <c r="J37" s="143">
        <f>(Table242325678910111213[HARGA JUAL]*Table242325678910111213[TERJUAL])</f>
        <v>130000</v>
      </c>
      <c r="K37" s="143">
        <f>Table242325678910111213[HARGA JUAL]*Table242325678910111213[SISA]</f>
        <v>2015000</v>
      </c>
      <c r="L37" s="144">
        <f>Table242325678910111213[HARGA POKOK]*Table242325678910111213[STOK]</f>
        <v>1699500</v>
      </c>
      <c r="M37" s="144">
        <f>Table242325678910111213[HARGA JUAL]*Table242325678910111213[STOK]</f>
        <v>2145000</v>
      </c>
      <c r="N37" s="145"/>
    </row>
    <row r="38" spans="1:14" x14ac:dyDescent="0.25">
      <c r="A38" s="137">
        <v>34</v>
      </c>
      <c r="B38" s="138" t="s">
        <v>35</v>
      </c>
      <c r="C38" s="138" t="s">
        <v>175</v>
      </c>
      <c r="D38" s="140">
        <v>27500</v>
      </c>
      <c r="E38" s="140">
        <v>40000</v>
      </c>
      <c r="F38" s="141">
        <v>80</v>
      </c>
      <c r="G38" s="142">
        <v>2</v>
      </c>
      <c r="H38" s="141">
        <f>(Table242325678910111213[STOK])-(Table242325678910111213[TERJUAL])</f>
        <v>78</v>
      </c>
      <c r="I38" s="143">
        <f>(Table242325678910111213[HARGA JUAL]*Table242325678910111213[TERJUAL])-(Table242325678910111213[HARGA POKOK]*Table242325678910111213[TERJUAL])</f>
        <v>25000</v>
      </c>
      <c r="J38" s="143">
        <f>(Table242325678910111213[HARGA JUAL]*Table242325678910111213[TERJUAL])</f>
        <v>80000</v>
      </c>
      <c r="K38" s="143">
        <f>Table242325678910111213[HARGA JUAL]*Table242325678910111213[SISA]</f>
        <v>3120000</v>
      </c>
      <c r="L38" s="144">
        <f>Table242325678910111213[HARGA POKOK]*Table242325678910111213[STOK]</f>
        <v>2200000</v>
      </c>
      <c r="M38" s="144">
        <f>Table242325678910111213[HARGA JUAL]*Table242325678910111213[STOK]</f>
        <v>3200000</v>
      </c>
      <c r="N38" s="145"/>
    </row>
    <row r="39" spans="1:14" x14ac:dyDescent="0.25">
      <c r="A39" s="137">
        <v>35</v>
      </c>
      <c r="B39" s="138" t="s">
        <v>31</v>
      </c>
      <c r="C39" s="138" t="s">
        <v>180</v>
      </c>
      <c r="D39" s="140">
        <v>21500</v>
      </c>
      <c r="E39" s="140">
        <v>40000</v>
      </c>
      <c r="F39" s="141">
        <v>107</v>
      </c>
      <c r="G39" s="142">
        <v>6</v>
      </c>
      <c r="H39" s="141">
        <f>(Table242325678910111213[STOK])-(Table242325678910111213[TERJUAL])</f>
        <v>101</v>
      </c>
      <c r="I39" s="143">
        <f>(Table242325678910111213[HARGA JUAL]*Table242325678910111213[TERJUAL])-(Table242325678910111213[HARGA POKOK]*Table242325678910111213[TERJUAL])</f>
        <v>111000</v>
      </c>
      <c r="J39" s="143">
        <f>(Table242325678910111213[HARGA JUAL]*Table242325678910111213[TERJUAL])</f>
        <v>240000</v>
      </c>
      <c r="K39" s="143">
        <f>Table242325678910111213[HARGA JUAL]*Table242325678910111213[SISA]</f>
        <v>4040000</v>
      </c>
      <c r="L39" s="144">
        <f>Table242325678910111213[HARGA POKOK]*Table242325678910111213[STOK]</f>
        <v>2300500</v>
      </c>
      <c r="M39" s="144">
        <f>Table242325678910111213[HARGA JUAL]*Table242325678910111213[STOK]</f>
        <v>4280000</v>
      </c>
      <c r="N39" s="145"/>
    </row>
    <row r="40" spans="1:14" x14ac:dyDescent="0.25">
      <c r="A40" s="137">
        <v>36</v>
      </c>
      <c r="B40" s="138" t="s">
        <v>31</v>
      </c>
      <c r="C40" s="138" t="s">
        <v>62</v>
      </c>
      <c r="D40" s="140">
        <v>25000</v>
      </c>
      <c r="E40" s="140">
        <v>15000</v>
      </c>
      <c r="F40" s="141">
        <v>4</v>
      </c>
      <c r="G40" s="142">
        <v>2</v>
      </c>
      <c r="H40" s="141">
        <f>(Table242325678910111213[STOK])-(Table242325678910111213[TERJUAL])</f>
        <v>2</v>
      </c>
      <c r="I40" s="143">
        <f>(Table242325678910111213[HARGA JUAL]*Table242325678910111213[TERJUAL])-(Table242325678910111213[HARGA POKOK]*Table242325678910111213[TERJUAL])</f>
        <v>-20000</v>
      </c>
      <c r="J40" s="143">
        <f>(Table242325678910111213[HARGA JUAL]*Table242325678910111213[TERJUAL])</f>
        <v>30000</v>
      </c>
      <c r="K40" s="143">
        <f>Table242325678910111213[HARGA JUAL]*Table242325678910111213[SISA]</f>
        <v>30000</v>
      </c>
      <c r="L40" s="144">
        <f>Table242325678910111213[HARGA POKOK]*Table242325678910111213[STOK]</f>
        <v>100000</v>
      </c>
      <c r="M40" s="144">
        <f>Table242325678910111213[HARGA JUAL]*Table242325678910111213[STOK]</f>
        <v>60000</v>
      </c>
      <c r="N40" s="145"/>
    </row>
    <row r="41" spans="1:14" x14ac:dyDescent="0.25">
      <c r="A41" s="137">
        <v>37</v>
      </c>
      <c r="B41" s="138" t="s">
        <v>31</v>
      </c>
      <c r="C41" s="138" t="s">
        <v>181</v>
      </c>
      <c r="D41" s="140">
        <v>34500</v>
      </c>
      <c r="E41" s="140">
        <v>40000</v>
      </c>
      <c r="F41" s="141">
        <v>117</v>
      </c>
      <c r="G41" s="142">
        <v>1</v>
      </c>
      <c r="H41" s="141">
        <f>(Table242325678910111213[STOK])-(Table242325678910111213[TERJUAL])</f>
        <v>116</v>
      </c>
      <c r="I41" s="143">
        <f>(Table242325678910111213[HARGA JUAL]*Table242325678910111213[TERJUAL])-(Table242325678910111213[HARGA POKOK]*Table242325678910111213[TERJUAL])</f>
        <v>5500</v>
      </c>
      <c r="J41" s="143">
        <f>(Table242325678910111213[HARGA JUAL]*Table242325678910111213[TERJUAL])</f>
        <v>40000</v>
      </c>
      <c r="K41" s="143">
        <f>Table242325678910111213[HARGA JUAL]*Table242325678910111213[SISA]</f>
        <v>4640000</v>
      </c>
      <c r="L41" s="144">
        <f>Table242325678910111213[HARGA POKOK]*Table242325678910111213[STOK]</f>
        <v>4036500</v>
      </c>
      <c r="M41" s="144">
        <f>Table242325678910111213[HARGA JUAL]*Table242325678910111213[STOK]</f>
        <v>4680000</v>
      </c>
      <c r="N41" s="145"/>
    </row>
    <row r="42" spans="1:14" x14ac:dyDescent="0.25">
      <c r="A42" s="137">
        <v>38</v>
      </c>
      <c r="B42" s="138" t="s">
        <v>31</v>
      </c>
      <c r="C42" s="138" t="s">
        <v>64</v>
      </c>
      <c r="D42" s="140">
        <v>24000</v>
      </c>
      <c r="E42" s="140">
        <v>40000</v>
      </c>
      <c r="F42" s="141">
        <v>2</v>
      </c>
      <c r="G42" s="142"/>
      <c r="H42" s="141">
        <f>(Table242325678910111213[STOK])-(Table242325678910111213[TERJUAL])</f>
        <v>2</v>
      </c>
      <c r="I42" s="143">
        <f>(Table242325678910111213[HARGA JUAL]*Table242325678910111213[TERJUAL])-(Table242325678910111213[HARGA POKOK]*Table242325678910111213[TERJUAL])</f>
        <v>0</v>
      </c>
      <c r="J42" s="143">
        <f>(Table242325678910111213[HARGA JUAL]*Table242325678910111213[TERJUAL])</f>
        <v>0</v>
      </c>
      <c r="K42" s="143">
        <f>Table242325678910111213[HARGA JUAL]*Table242325678910111213[SISA]</f>
        <v>80000</v>
      </c>
      <c r="L42" s="144">
        <f>Table242325678910111213[HARGA POKOK]*Table242325678910111213[STOK]</f>
        <v>48000</v>
      </c>
      <c r="M42" s="144">
        <f>Table242325678910111213[HARGA JUAL]*Table242325678910111213[STOK]</f>
        <v>80000</v>
      </c>
      <c r="N42" s="145"/>
    </row>
    <row r="43" spans="1:14" x14ac:dyDescent="0.25">
      <c r="A43" s="137">
        <v>39</v>
      </c>
      <c r="B43" s="138" t="s">
        <v>31</v>
      </c>
      <c r="C43" s="138" t="s">
        <v>138</v>
      </c>
      <c r="D43" s="140">
        <v>34000</v>
      </c>
      <c r="E43" s="140">
        <v>40000</v>
      </c>
      <c r="F43" s="141">
        <v>0</v>
      </c>
      <c r="G43" s="142"/>
      <c r="H43" s="141">
        <f>(Table242325678910111213[STOK])-(Table242325678910111213[TERJUAL])</f>
        <v>0</v>
      </c>
      <c r="I43" s="143">
        <f>(Table242325678910111213[HARGA JUAL]*Table242325678910111213[TERJUAL])-(Table242325678910111213[HARGA POKOK]*Table242325678910111213[TERJUAL])</f>
        <v>0</v>
      </c>
      <c r="J43" s="143">
        <f>(Table242325678910111213[HARGA JUAL]*Table242325678910111213[TERJUAL])</f>
        <v>0</v>
      </c>
      <c r="K43" s="143">
        <f>Table242325678910111213[HARGA JUAL]*Table242325678910111213[SISA]</f>
        <v>0</v>
      </c>
      <c r="L43" s="144">
        <f>Table242325678910111213[HARGA POKOK]*Table242325678910111213[STOK]</f>
        <v>0</v>
      </c>
      <c r="M43" s="144">
        <f>Table242325678910111213[HARGA JUAL]*Table242325678910111213[STOK]</f>
        <v>0</v>
      </c>
      <c r="N43" s="145"/>
    </row>
    <row r="44" spans="1:14" x14ac:dyDescent="0.25">
      <c r="A44" s="137"/>
      <c r="B44" s="138" t="s">
        <v>31</v>
      </c>
      <c r="C44" s="138" t="s">
        <v>260</v>
      </c>
      <c r="D44" s="140"/>
      <c r="E44" s="140">
        <v>750000</v>
      </c>
      <c r="F44" s="141">
        <v>0</v>
      </c>
      <c r="G44" s="142"/>
      <c r="H44" s="141">
        <f>(Table242325678910111213[STOK])-(Table242325678910111213[TERJUAL])</f>
        <v>0</v>
      </c>
      <c r="I44" s="143">
        <f>(Table242325678910111213[HARGA JUAL]*Table242325678910111213[TERJUAL])-(Table242325678910111213[HARGA POKOK]*Table242325678910111213[TERJUAL])</f>
        <v>0</v>
      </c>
      <c r="J44" s="143">
        <f>(Table242325678910111213[HARGA JUAL]*Table242325678910111213[TERJUAL])</f>
        <v>0</v>
      </c>
      <c r="K44" s="143">
        <f>Table242325678910111213[HARGA JUAL]*Table242325678910111213[SISA]</f>
        <v>0</v>
      </c>
      <c r="L44" s="144">
        <f>Table242325678910111213[HARGA POKOK]*Table242325678910111213[STOK]</f>
        <v>0</v>
      </c>
      <c r="M44" s="144">
        <f>Table242325678910111213[HARGA JUAL]*Table242325678910111213[STOK]</f>
        <v>0</v>
      </c>
      <c r="N44" s="145"/>
    </row>
    <row r="45" spans="1:14" x14ac:dyDescent="0.25">
      <c r="A45" s="137">
        <v>40</v>
      </c>
      <c r="B45" s="138" t="s">
        <v>31</v>
      </c>
      <c r="C45" s="138" t="s">
        <v>261</v>
      </c>
      <c r="D45" s="140">
        <v>30000</v>
      </c>
      <c r="E45" s="140">
        <v>35000</v>
      </c>
      <c r="F45" s="141">
        <v>8</v>
      </c>
      <c r="G45" s="142">
        <v>3</v>
      </c>
      <c r="H45" s="141">
        <f>(Table242325678910111213[STOK])-(Table242325678910111213[TERJUAL])</f>
        <v>5</v>
      </c>
      <c r="I45" s="143">
        <f>(Table242325678910111213[HARGA JUAL]*Table242325678910111213[TERJUAL])-(Table242325678910111213[HARGA POKOK]*Table242325678910111213[TERJUAL])</f>
        <v>15000</v>
      </c>
      <c r="J45" s="143">
        <f>(Table242325678910111213[HARGA JUAL]*Table242325678910111213[TERJUAL])</f>
        <v>105000</v>
      </c>
      <c r="K45" s="143">
        <f>Table242325678910111213[HARGA JUAL]*Table242325678910111213[SISA]</f>
        <v>175000</v>
      </c>
      <c r="L45" s="144">
        <f>Table242325678910111213[HARGA POKOK]*Table242325678910111213[STOK]</f>
        <v>240000</v>
      </c>
      <c r="M45" s="144">
        <f>Table242325678910111213[HARGA JUAL]*Table242325678910111213[STOK]</f>
        <v>280000</v>
      </c>
      <c r="N45" s="145"/>
    </row>
    <row r="46" spans="1:14" x14ac:dyDescent="0.25">
      <c r="A46" s="137">
        <v>41</v>
      </c>
      <c r="B46" s="138" t="s">
        <v>31</v>
      </c>
      <c r="C46" s="138" t="s">
        <v>67</v>
      </c>
      <c r="D46" s="140">
        <v>27500</v>
      </c>
      <c r="E46" s="140">
        <v>40000</v>
      </c>
      <c r="F46" s="141">
        <v>0</v>
      </c>
      <c r="G46" s="142"/>
      <c r="H46" s="141">
        <f>(Table242325678910111213[STOK])-(Table242325678910111213[TERJUAL])</f>
        <v>0</v>
      </c>
      <c r="I46" s="143">
        <f>(Table242325678910111213[HARGA JUAL]*Table242325678910111213[TERJUAL])-(Table242325678910111213[HARGA POKOK]*Table242325678910111213[TERJUAL])</f>
        <v>0</v>
      </c>
      <c r="J46" s="143">
        <f>(Table242325678910111213[HARGA JUAL]*Table242325678910111213[TERJUAL])</f>
        <v>0</v>
      </c>
      <c r="K46" s="143">
        <f>Table242325678910111213[HARGA JUAL]*Table242325678910111213[SISA]</f>
        <v>0</v>
      </c>
      <c r="L46" s="144">
        <f>Table242325678910111213[HARGA POKOK]*Table242325678910111213[STOK]</f>
        <v>0</v>
      </c>
      <c r="M46" s="144">
        <f>Table242325678910111213[HARGA JUAL]*Table242325678910111213[STOK]</f>
        <v>0</v>
      </c>
      <c r="N46" s="145"/>
    </row>
    <row r="47" spans="1:14" x14ac:dyDescent="0.25">
      <c r="A47" s="137">
        <v>42</v>
      </c>
      <c r="B47" s="138" t="s">
        <v>31</v>
      </c>
      <c r="C47" s="138" t="s">
        <v>140</v>
      </c>
      <c r="D47" s="140">
        <v>15000</v>
      </c>
      <c r="E47" s="140">
        <v>30000</v>
      </c>
      <c r="F47" s="141">
        <v>0</v>
      </c>
      <c r="G47" s="142"/>
      <c r="H47" s="141">
        <f>(Table242325678910111213[STOK])-(Table242325678910111213[TERJUAL])</f>
        <v>0</v>
      </c>
      <c r="I47" s="143">
        <f>(Table242325678910111213[HARGA JUAL]*Table242325678910111213[TERJUAL])-(Table242325678910111213[HARGA POKOK]*Table242325678910111213[TERJUAL])</f>
        <v>0</v>
      </c>
      <c r="J47" s="143">
        <f>(Table242325678910111213[HARGA JUAL]*Table242325678910111213[TERJUAL])</f>
        <v>0</v>
      </c>
      <c r="K47" s="143">
        <f>Table242325678910111213[HARGA JUAL]*Table242325678910111213[SISA]</f>
        <v>0</v>
      </c>
      <c r="L47" s="144">
        <f>Table242325678910111213[HARGA POKOK]*Table242325678910111213[STOK]</f>
        <v>0</v>
      </c>
      <c r="M47" s="144">
        <f>Table242325678910111213[HARGA JUAL]*Table242325678910111213[STOK]</f>
        <v>0</v>
      </c>
      <c r="N47" s="145"/>
    </row>
    <row r="48" spans="1:14" x14ac:dyDescent="0.25">
      <c r="A48" s="137">
        <v>43</v>
      </c>
      <c r="B48" s="138" t="s">
        <v>31</v>
      </c>
      <c r="C48" s="138" t="s">
        <v>137</v>
      </c>
      <c r="D48" s="140">
        <v>190000</v>
      </c>
      <c r="E48" s="140">
        <v>200000</v>
      </c>
      <c r="F48" s="141">
        <v>0</v>
      </c>
      <c r="G48" s="142"/>
      <c r="H48" s="141">
        <f>(Table242325678910111213[STOK])-(Table242325678910111213[TERJUAL])</f>
        <v>0</v>
      </c>
      <c r="I48" s="143">
        <f>(Table242325678910111213[HARGA JUAL]*Table242325678910111213[TERJUAL])-(Table242325678910111213[HARGA POKOK]*Table242325678910111213[TERJUAL])</f>
        <v>0</v>
      </c>
      <c r="J48" s="143">
        <f>(Table242325678910111213[HARGA JUAL]*Table242325678910111213[TERJUAL])</f>
        <v>0</v>
      </c>
      <c r="K48" s="143">
        <f>Table242325678910111213[HARGA JUAL]*Table242325678910111213[SISA]</f>
        <v>0</v>
      </c>
      <c r="L48" s="144">
        <f>Table242325678910111213[HARGA POKOK]*Table242325678910111213[STOK]</f>
        <v>0</v>
      </c>
      <c r="M48" s="144">
        <f>Table242325678910111213[HARGA JUAL]*Table242325678910111213[STOK]</f>
        <v>0</v>
      </c>
      <c r="N48" s="145"/>
    </row>
    <row r="49" spans="1:14" x14ac:dyDescent="0.25">
      <c r="A49" s="137">
        <v>44</v>
      </c>
      <c r="B49" s="138" t="s">
        <v>31</v>
      </c>
      <c r="C49" s="138" t="s">
        <v>139</v>
      </c>
      <c r="D49" s="140">
        <v>16000</v>
      </c>
      <c r="E49" s="140">
        <v>25000</v>
      </c>
      <c r="F49" s="141">
        <v>5</v>
      </c>
      <c r="G49" s="142"/>
      <c r="H49" s="141">
        <f>(Table242325678910111213[STOK])-(Table242325678910111213[TERJUAL])</f>
        <v>5</v>
      </c>
      <c r="I49" s="143">
        <f>(Table242325678910111213[HARGA JUAL]*Table242325678910111213[TERJUAL])-(Table242325678910111213[HARGA POKOK]*Table242325678910111213[TERJUAL])</f>
        <v>0</v>
      </c>
      <c r="J49" s="143">
        <f>(Table242325678910111213[HARGA JUAL]*Table242325678910111213[TERJUAL])</f>
        <v>0</v>
      </c>
      <c r="K49" s="143">
        <f>Table242325678910111213[HARGA JUAL]*Table242325678910111213[SISA]</f>
        <v>125000</v>
      </c>
      <c r="L49" s="144">
        <f>Table242325678910111213[HARGA POKOK]*Table242325678910111213[STOK]</f>
        <v>80000</v>
      </c>
      <c r="M49" s="144">
        <f>Table242325678910111213[HARGA JUAL]*Table242325678910111213[STOK]</f>
        <v>125000</v>
      </c>
      <c r="N49" s="145"/>
    </row>
    <row r="50" spans="1:14" x14ac:dyDescent="0.25">
      <c r="A50" s="137">
        <v>45</v>
      </c>
      <c r="B50" s="138" t="s">
        <v>31</v>
      </c>
      <c r="C50" s="138" t="s">
        <v>134</v>
      </c>
      <c r="D50" s="140">
        <v>18000</v>
      </c>
      <c r="E50" s="140">
        <v>30000</v>
      </c>
      <c r="F50" s="141">
        <v>0</v>
      </c>
      <c r="G50" s="142"/>
      <c r="H50" s="141">
        <f>(Table242325678910111213[STOK])-(Table242325678910111213[TERJUAL])</f>
        <v>0</v>
      </c>
      <c r="I50" s="143">
        <f>(Table242325678910111213[HARGA JUAL]*Table242325678910111213[TERJUAL])-(Table242325678910111213[HARGA POKOK]*Table242325678910111213[TERJUAL])</f>
        <v>0</v>
      </c>
      <c r="J50" s="143">
        <f>(Table242325678910111213[HARGA JUAL]*Table242325678910111213[TERJUAL])</f>
        <v>0</v>
      </c>
      <c r="K50" s="143">
        <f>Table242325678910111213[HARGA JUAL]*Table242325678910111213[SISA]</f>
        <v>0</v>
      </c>
      <c r="L50" s="144">
        <f>Table242325678910111213[HARGA POKOK]*Table242325678910111213[STOK]</f>
        <v>0</v>
      </c>
      <c r="M50" s="144">
        <f>Table242325678910111213[HARGA JUAL]*Table242325678910111213[STOK]</f>
        <v>0</v>
      </c>
      <c r="N50" s="145"/>
    </row>
    <row r="51" spans="1:14" x14ac:dyDescent="0.25">
      <c r="A51" s="137">
        <v>46</v>
      </c>
      <c r="B51" s="138" t="s">
        <v>31</v>
      </c>
      <c r="C51" s="138" t="s">
        <v>183</v>
      </c>
      <c r="D51" s="140">
        <v>18000</v>
      </c>
      <c r="E51" s="140">
        <v>30000</v>
      </c>
      <c r="F51" s="141">
        <v>10</v>
      </c>
      <c r="G51" s="142">
        <v>2</v>
      </c>
      <c r="H51" s="141">
        <f>(Table242325678910111213[STOK])-(Table242325678910111213[TERJUAL])</f>
        <v>8</v>
      </c>
      <c r="I51" s="143">
        <f>(Table242325678910111213[HARGA JUAL]*Table242325678910111213[TERJUAL])-(Table242325678910111213[HARGA POKOK]*Table242325678910111213[TERJUAL])</f>
        <v>24000</v>
      </c>
      <c r="J51" s="143">
        <f>(Table242325678910111213[HARGA JUAL]*Table242325678910111213[TERJUAL])</f>
        <v>60000</v>
      </c>
      <c r="K51" s="143">
        <f>Table242325678910111213[HARGA JUAL]*Table242325678910111213[SISA]</f>
        <v>240000</v>
      </c>
      <c r="L51" s="144">
        <f>Table242325678910111213[HARGA POKOK]*Table242325678910111213[STOK]</f>
        <v>180000</v>
      </c>
      <c r="M51" s="144">
        <f>Table242325678910111213[HARGA JUAL]*Table242325678910111213[STOK]</f>
        <v>300000</v>
      </c>
      <c r="N51" s="145"/>
    </row>
    <row r="52" spans="1:14" x14ac:dyDescent="0.25">
      <c r="A52" s="137">
        <v>47</v>
      </c>
      <c r="B52" s="138" t="s">
        <v>31</v>
      </c>
      <c r="C52" s="193" t="s">
        <v>184</v>
      </c>
      <c r="D52" s="140">
        <v>12500</v>
      </c>
      <c r="E52" s="140">
        <v>30000</v>
      </c>
      <c r="F52" s="141">
        <v>97</v>
      </c>
      <c r="G52" s="142"/>
      <c r="H52" s="141">
        <f>(Table242325678910111213[STOK])-(Table242325678910111213[TERJUAL])</f>
        <v>97</v>
      </c>
      <c r="I52" s="143">
        <f>(Table242325678910111213[HARGA JUAL]*Table242325678910111213[TERJUAL])-(Table242325678910111213[HARGA POKOK]*Table242325678910111213[TERJUAL])</f>
        <v>0</v>
      </c>
      <c r="J52" s="143">
        <f>(Table242325678910111213[HARGA JUAL]*Table242325678910111213[TERJUAL])</f>
        <v>0</v>
      </c>
      <c r="K52" s="143">
        <f>Table242325678910111213[HARGA JUAL]*Table242325678910111213[SISA]</f>
        <v>2910000</v>
      </c>
      <c r="L52" s="144">
        <f>Table242325678910111213[HARGA POKOK]*Table242325678910111213[STOK]</f>
        <v>1212500</v>
      </c>
      <c r="M52" s="144">
        <f>Table242325678910111213[HARGA JUAL]*Table242325678910111213[STOK]</f>
        <v>2910000</v>
      </c>
      <c r="N52" s="145"/>
    </row>
    <row r="53" spans="1:14" x14ac:dyDescent="0.25">
      <c r="A53" s="137">
        <v>48</v>
      </c>
      <c r="B53" s="138" t="s">
        <v>31</v>
      </c>
      <c r="C53" s="138" t="s">
        <v>185</v>
      </c>
      <c r="D53" s="140">
        <v>28500</v>
      </c>
      <c r="E53" s="140">
        <v>40000</v>
      </c>
      <c r="F53" s="141">
        <v>45</v>
      </c>
      <c r="G53" s="142">
        <v>7</v>
      </c>
      <c r="H53" s="141">
        <f>(Table242325678910111213[STOK])-(Table242325678910111213[TERJUAL])</f>
        <v>38</v>
      </c>
      <c r="I53" s="143">
        <f>(Table242325678910111213[HARGA JUAL]*Table242325678910111213[TERJUAL])-(Table242325678910111213[HARGA POKOK]*Table242325678910111213[TERJUAL])</f>
        <v>80500</v>
      </c>
      <c r="J53" s="143">
        <f>(Table242325678910111213[HARGA JUAL]*Table242325678910111213[TERJUAL])</f>
        <v>280000</v>
      </c>
      <c r="K53" s="143">
        <f>Table242325678910111213[HARGA JUAL]*Table242325678910111213[SISA]</f>
        <v>1520000</v>
      </c>
      <c r="L53" s="144">
        <f>Table242325678910111213[HARGA POKOK]*Table242325678910111213[STOK]</f>
        <v>1282500</v>
      </c>
      <c r="M53" s="144">
        <f>Table242325678910111213[HARGA JUAL]*Table242325678910111213[STOK]</f>
        <v>1800000</v>
      </c>
      <c r="N53" s="145"/>
    </row>
    <row r="54" spans="1:14" x14ac:dyDescent="0.25">
      <c r="A54" s="137">
        <v>49</v>
      </c>
      <c r="B54" s="138" t="s">
        <v>31</v>
      </c>
      <c r="C54" s="138" t="s">
        <v>186</v>
      </c>
      <c r="D54" s="140">
        <v>48500</v>
      </c>
      <c r="E54" s="140">
        <v>65000</v>
      </c>
      <c r="F54" s="141">
        <v>9</v>
      </c>
      <c r="G54" s="142"/>
      <c r="H54" s="141">
        <f>(Table242325678910111213[STOK])-(Table242325678910111213[TERJUAL])</f>
        <v>9</v>
      </c>
      <c r="I54" s="143">
        <f>(Table242325678910111213[HARGA JUAL]*Table242325678910111213[TERJUAL])-(Table242325678910111213[HARGA POKOK]*Table242325678910111213[TERJUAL])</f>
        <v>0</v>
      </c>
      <c r="J54" s="143">
        <f>(Table242325678910111213[HARGA JUAL]*Table242325678910111213[TERJUAL])</f>
        <v>0</v>
      </c>
      <c r="K54" s="143">
        <f>Table242325678910111213[HARGA JUAL]*Table242325678910111213[SISA]</f>
        <v>585000</v>
      </c>
      <c r="L54" s="144">
        <f>Table242325678910111213[HARGA POKOK]*Table242325678910111213[STOK]</f>
        <v>436500</v>
      </c>
      <c r="M54" s="144">
        <f>Table242325678910111213[HARGA JUAL]*Table242325678910111213[STOK]</f>
        <v>585000</v>
      </c>
      <c r="N54" s="145"/>
    </row>
    <row r="55" spans="1:14" x14ac:dyDescent="0.25">
      <c r="A55" s="137">
        <v>50</v>
      </c>
      <c r="B55" s="138" t="s">
        <v>31</v>
      </c>
      <c r="C55" s="138" t="s">
        <v>187</v>
      </c>
      <c r="D55" s="140">
        <v>47500</v>
      </c>
      <c r="E55" s="140">
        <v>65000</v>
      </c>
      <c r="F55" s="141">
        <v>59</v>
      </c>
      <c r="G55" s="142">
        <v>6</v>
      </c>
      <c r="H55" s="141">
        <f>(Table242325678910111213[STOK])-(Table242325678910111213[TERJUAL])</f>
        <v>53</v>
      </c>
      <c r="I55" s="143">
        <f>(Table242325678910111213[HARGA JUAL]*Table242325678910111213[TERJUAL])-(Table242325678910111213[HARGA POKOK]*Table242325678910111213[TERJUAL])</f>
        <v>105000</v>
      </c>
      <c r="J55" s="143">
        <f>(Table242325678910111213[HARGA JUAL]*Table242325678910111213[TERJUAL])</f>
        <v>390000</v>
      </c>
      <c r="K55" s="143">
        <f>Table242325678910111213[HARGA JUAL]*Table242325678910111213[SISA]</f>
        <v>3445000</v>
      </c>
      <c r="L55" s="144">
        <f>Table242325678910111213[HARGA POKOK]*Table242325678910111213[STOK]</f>
        <v>2802500</v>
      </c>
      <c r="M55" s="144">
        <f>Table242325678910111213[HARGA JUAL]*Table242325678910111213[STOK]</f>
        <v>3835000</v>
      </c>
      <c r="N55" s="145"/>
    </row>
    <row r="56" spans="1:14" x14ac:dyDescent="0.25">
      <c r="A56" s="137">
        <v>51</v>
      </c>
      <c r="B56" s="138" t="s">
        <v>32</v>
      </c>
      <c r="C56" s="193" t="s">
        <v>18</v>
      </c>
      <c r="D56" s="140">
        <v>1700</v>
      </c>
      <c r="E56" s="140">
        <v>5000</v>
      </c>
      <c r="F56" s="141">
        <v>2</v>
      </c>
      <c r="G56" s="142"/>
      <c r="H56" s="141">
        <f>(Table242325678910111213[STOK])-(Table242325678910111213[TERJUAL])</f>
        <v>2</v>
      </c>
      <c r="I56" s="143">
        <f>(Table242325678910111213[HARGA JUAL]*Table242325678910111213[TERJUAL])-(Table242325678910111213[HARGA POKOK]*Table242325678910111213[TERJUAL])</f>
        <v>0</v>
      </c>
      <c r="J56" s="143">
        <f>(Table242325678910111213[HARGA JUAL]*Table242325678910111213[TERJUAL])</f>
        <v>0</v>
      </c>
      <c r="K56" s="143">
        <f>Table242325678910111213[HARGA JUAL]*Table242325678910111213[SISA]</f>
        <v>10000</v>
      </c>
      <c r="L56" s="144">
        <f>Table242325678910111213[HARGA POKOK]*Table242325678910111213[STOK]</f>
        <v>3400</v>
      </c>
      <c r="M56" s="144">
        <f>Table242325678910111213[HARGA JUAL]*Table242325678910111213[STOK]</f>
        <v>10000</v>
      </c>
      <c r="N56" s="145"/>
    </row>
    <row r="57" spans="1:14" x14ac:dyDescent="0.25">
      <c r="A57" s="137">
        <v>52</v>
      </c>
      <c r="B57" s="138" t="s">
        <v>32</v>
      </c>
      <c r="C57" s="138" t="s">
        <v>21</v>
      </c>
      <c r="D57" s="140">
        <v>30000</v>
      </c>
      <c r="E57" s="140">
        <v>45000</v>
      </c>
      <c r="F57" s="141">
        <v>8</v>
      </c>
      <c r="G57" s="142">
        <v>1</v>
      </c>
      <c r="H57" s="141">
        <f>(Table242325678910111213[STOK])-(Table242325678910111213[TERJUAL])</f>
        <v>7</v>
      </c>
      <c r="I57" s="143">
        <f>(Table242325678910111213[HARGA JUAL]*Table242325678910111213[TERJUAL])-(Table242325678910111213[HARGA POKOK]*Table242325678910111213[TERJUAL])</f>
        <v>15000</v>
      </c>
      <c r="J57" s="143">
        <f>(Table242325678910111213[HARGA JUAL]*Table242325678910111213[TERJUAL])</f>
        <v>45000</v>
      </c>
      <c r="K57" s="143">
        <f>Table242325678910111213[HARGA JUAL]*Table242325678910111213[SISA]</f>
        <v>315000</v>
      </c>
      <c r="L57" s="144">
        <f>Table242325678910111213[HARGA POKOK]*Table242325678910111213[STOK]</f>
        <v>240000</v>
      </c>
      <c r="M57" s="144">
        <f>Table242325678910111213[HARGA JUAL]*Table242325678910111213[STOK]</f>
        <v>360000</v>
      </c>
      <c r="N57" s="145"/>
    </row>
    <row r="58" spans="1:14" x14ac:dyDescent="0.25">
      <c r="A58" s="137">
        <v>53</v>
      </c>
      <c r="B58" s="138" t="s">
        <v>32</v>
      </c>
      <c r="C58" s="138" t="s">
        <v>20</v>
      </c>
      <c r="D58" s="140">
        <v>1500</v>
      </c>
      <c r="E58" s="140">
        <v>5000</v>
      </c>
      <c r="F58" s="141">
        <v>83</v>
      </c>
      <c r="G58" s="142">
        <v>6</v>
      </c>
      <c r="H58" s="141">
        <f>(Table242325678910111213[STOK])-(Table242325678910111213[TERJUAL])</f>
        <v>77</v>
      </c>
      <c r="I58" s="143">
        <f>(Table242325678910111213[HARGA JUAL]*Table242325678910111213[TERJUAL])-(Table242325678910111213[HARGA POKOK]*Table242325678910111213[TERJUAL])</f>
        <v>21000</v>
      </c>
      <c r="J58" s="143">
        <f>(Table242325678910111213[HARGA JUAL]*Table242325678910111213[TERJUAL])</f>
        <v>30000</v>
      </c>
      <c r="K58" s="143">
        <f>Table242325678910111213[HARGA JUAL]*Table242325678910111213[SISA]</f>
        <v>385000</v>
      </c>
      <c r="L58" s="144">
        <f>Table242325678910111213[HARGA POKOK]*Table242325678910111213[STOK]</f>
        <v>124500</v>
      </c>
      <c r="M58" s="144">
        <f>Table242325678910111213[HARGA JUAL]*Table242325678910111213[STOK]</f>
        <v>415000</v>
      </c>
      <c r="N58" s="145"/>
    </row>
    <row r="59" spans="1:14" x14ac:dyDescent="0.25">
      <c r="A59" s="137">
        <v>54</v>
      </c>
      <c r="B59" s="138" t="s">
        <v>32</v>
      </c>
      <c r="C59" s="138" t="s">
        <v>23</v>
      </c>
      <c r="D59" s="140">
        <v>30000</v>
      </c>
      <c r="E59" s="140">
        <v>40000</v>
      </c>
      <c r="F59" s="141">
        <v>9</v>
      </c>
      <c r="G59" s="142">
        <v>1</v>
      </c>
      <c r="H59" s="141">
        <f>(Table242325678910111213[STOK])-(Table242325678910111213[TERJUAL])</f>
        <v>8</v>
      </c>
      <c r="I59" s="143">
        <f>(Table242325678910111213[HARGA JUAL]*Table242325678910111213[TERJUAL])-(Table242325678910111213[HARGA POKOK]*Table242325678910111213[TERJUAL])</f>
        <v>10000</v>
      </c>
      <c r="J59" s="143">
        <f>(Table242325678910111213[HARGA JUAL]*Table242325678910111213[TERJUAL])</f>
        <v>40000</v>
      </c>
      <c r="K59" s="143">
        <f>Table242325678910111213[HARGA JUAL]*Table242325678910111213[SISA]</f>
        <v>320000</v>
      </c>
      <c r="L59" s="144">
        <f>Table242325678910111213[HARGA POKOK]*Table242325678910111213[STOK]</f>
        <v>270000</v>
      </c>
      <c r="M59" s="144">
        <f>Table242325678910111213[HARGA JUAL]*Table242325678910111213[STOK]</f>
        <v>360000</v>
      </c>
      <c r="N59" s="145"/>
    </row>
    <row r="60" spans="1:14" x14ac:dyDescent="0.25">
      <c r="A60" s="137">
        <v>55</v>
      </c>
      <c r="B60" s="138" t="s">
        <v>32</v>
      </c>
      <c r="C60" s="138" t="s">
        <v>19</v>
      </c>
      <c r="D60" s="140">
        <v>1600</v>
      </c>
      <c r="E60" s="140">
        <v>5000</v>
      </c>
      <c r="F60" s="141">
        <v>139</v>
      </c>
      <c r="G60" s="142">
        <v>16</v>
      </c>
      <c r="H60" s="141">
        <f>(Table242325678910111213[STOK])-(Table242325678910111213[TERJUAL])</f>
        <v>123</v>
      </c>
      <c r="I60" s="143">
        <f>(Table242325678910111213[HARGA JUAL]*Table242325678910111213[TERJUAL])-(Table242325678910111213[HARGA POKOK]*Table242325678910111213[TERJUAL])</f>
        <v>54400</v>
      </c>
      <c r="J60" s="143">
        <f>(Table242325678910111213[HARGA JUAL]*Table242325678910111213[TERJUAL])</f>
        <v>80000</v>
      </c>
      <c r="K60" s="143">
        <f>Table242325678910111213[HARGA JUAL]*Table242325678910111213[SISA]</f>
        <v>615000</v>
      </c>
      <c r="L60" s="144">
        <f>Table242325678910111213[HARGA POKOK]*Table242325678910111213[STOK]</f>
        <v>222400</v>
      </c>
      <c r="M60" s="144">
        <f>Table242325678910111213[HARGA JUAL]*Table242325678910111213[STOK]</f>
        <v>695000</v>
      </c>
      <c r="N60" s="145"/>
    </row>
    <row r="61" spans="1:14" x14ac:dyDescent="0.25">
      <c r="A61" s="137">
        <v>56</v>
      </c>
      <c r="B61" s="138" t="s">
        <v>32</v>
      </c>
      <c r="C61" s="138" t="s">
        <v>22</v>
      </c>
      <c r="D61" s="140">
        <v>30000</v>
      </c>
      <c r="E61" s="140">
        <v>40000</v>
      </c>
      <c r="F61" s="141">
        <v>9</v>
      </c>
      <c r="G61" s="142">
        <v>3</v>
      </c>
      <c r="H61" s="141">
        <f>(Table242325678910111213[STOK])-(Table242325678910111213[TERJUAL])</f>
        <v>6</v>
      </c>
      <c r="I61" s="143">
        <f>(Table242325678910111213[HARGA JUAL]*Table242325678910111213[TERJUAL])-(Table242325678910111213[HARGA POKOK]*Table242325678910111213[TERJUAL])</f>
        <v>30000</v>
      </c>
      <c r="J61" s="143">
        <f>(Table242325678910111213[HARGA JUAL]*Table242325678910111213[TERJUAL])</f>
        <v>120000</v>
      </c>
      <c r="K61" s="143">
        <f>Table242325678910111213[HARGA JUAL]*Table242325678910111213[SISA]</f>
        <v>240000</v>
      </c>
      <c r="L61" s="144">
        <f>Table242325678910111213[HARGA POKOK]*Table242325678910111213[STOK]</f>
        <v>270000</v>
      </c>
      <c r="M61" s="144">
        <f>Table242325678910111213[HARGA JUAL]*Table242325678910111213[STOK]</f>
        <v>360000</v>
      </c>
      <c r="N61" s="145"/>
    </row>
    <row r="62" spans="1:14" x14ac:dyDescent="0.25">
      <c r="A62" s="137">
        <v>57</v>
      </c>
      <c r="B62" s="138" t="s">
        <v>32</v>
      </c>
      <c r="C62" s="138" t="s">
        <v>24</v>
      </c>
      <c r="D62" s="140">
        <v>17500</v>
      </c>
      <c r="E62" s="140">
        <v>40000</v>
      </c>
      <c r="F62" s="141">
        <v>0</v>
      </c>
      <c r="G62" s="142"/>
      <c r="H62" s="141">
        <f>(Table242325678910111213[STOK])-(Table242325678910111213[TERJUAL])</f>
        <v>0</v>
      </c>
      <c r="I62" s="143">
        <f>(Table242325678910111213[HARGA JUAL]*Table242325678910111213[TERJUAL])-(Table242325678910111213[HARGA POKOK]*Table242325678910111213[TERJUAL])</f>
        <v>0</v>
      </c>
      <c r="J62" s="143">
        <f>(Table242325678910111213[HARGA JUAL]*Table242325678910111213[TERJUAL])</f>
        <v>0</v>
      </c>
      <c r="K62" s="143">
        <f>Table242325678910111213[HARGA JUAL]*Table242325678910111213[SISA]</f>
        <v>0</v>
      </c>
      <c r="L62" s="144">
        <f>Table242325678910111213[HARGA POKOK]*Table242325678910111213[STOK]</f>
        <v>0</v>
      </c>
      <c r="M62" s="144">
        <f>Table242325678910111213[HARGA JUAL]*Table242325678910111213[STOK]</f>
        <v>0</v>
      </c>
      <c r="N62" s="145"/>
    </row>
    <row r="63" spans="1:14" x14ac:dyDescent="0.25">
      <c r="A63" s="137">
        <v>58</v>
      </c>
      <c r="B63" s="138" t="s">
        <v>144</v>
      </c>
      <c r="C63" s="138" t="s">
        <v>145</v>
      </c>
      <c r="D63" s="140">
        <v>3000</v>
      </c>
      <c r="E63" s="140">
        <v>6000</v>
      </c>
      <c r="F63" s="141">
        <v>15</v>
      </c>
      <c r="G63" s="142">
        <v>6</v>
      </c>
      <c r="H63" s="141">
        <f>(Table242325678910111213[STOK])-(Table242325678910111213[TERJUAL])</f>
        <v>9</v>
      </c>
      <c r="I63" s="143">
        <f>(Table242325678910111213[HARGA JUAL]*Table242325678910111213[TERJUAL])-(Table242325678910111213[HARGA POKOK]*Table242325678910111213[TERJUAL])</f>
        <v>18000</v>
      </c>
      <c r="J63" s="143">
        <f>(Table242325678910111213[HARGA JUAL]*Table242325678910111213[TERJUAL])</f>
        <v>36000</v>
      </c>
      <c r="K63" s="143">
        <f>Table242325678910111213[HARGA JUAL]*Table242325678910111213[SISA]</f>
        <v>54000</v>
      </c>
      <c r="L63" s="144">
        <f>Table242325678910111213[HARGA POKOK]*Table242325678910111213[STOK]</f>
        <v>45000</v>
      </c>
      <c r="M63" s="144">
        <f>Table242325678910111213[HARGA JUAL]*Table242325678910111213[STOK]</f>
        <v>90000</v>
      </c>
      <c r="N63" s="145"/>
    </row>
    <row r="64" spans="1:14" x14ac:dyDescent="0.25">
      <c r="A64" s="137">
        <v>59</v>
      </c>
      <c r="B64" s="138" t="s">
        <v>33</v>
      </c>
      <c r="C64" s="138" t="s">
        <v>188</v>
      </c>
      <c r="D64" s="140">
        <v>364000</v>
      </c>
      <c r="E64" s="140">
        <v>475000</v>
      </c>
      <c r="F64" s="141">
        <v>255</v>
      </c>
      <c r="G64" s="142">
        <v>30</v>
      </c>
      <c r="H64" s="141">
        <f>(Table242325678910111213[STOK])-(Table242325678910111213[TERJUAL])</f>
        <v>225</v>
      </c>
      <c r="I64" s="143">
        <f>(Table242325678910111213[HARGA JUAL]*Table242325678910111213[TERJUAL])-(Table242325678910111213[HARGA POKOK]*Table242325678910111213[TERJUAL])</f>
        <v>3330000</v>
      </c>
      <c r="J64" s="143">
        <f>(Table242325678910111213[HARGA JUAL]*Table242325678910111213[TERJUAL])</f>
        <v>14250000</v>
      </c>
      <c r="K64" s="143">
        <f>Table242325678910111213[HARGA JUAL]*Table242325678910111213[SISA]</f>
        <v>106875000</v>
      </c>
      <c r="L64" s="144">
        <f>Table242325678910111213[HARGA POKOK]*Table242325678910111213[STOK]</f>
        <v>92820000</v>
      </c>
      <c r="M64" s="144">
        <f>Table242325678910111213[HARGA JUAL]*Table242325678910111213[STOK]</f>
        <v>121125000</v>
      </c>
      <c r="N64" s="145"/>
    </row>
    <row r="65" spans="1:14" x14ac:dyDescent="0.25">
      <c r="A65" s="137">
        <v>60</v>
      </c>
      <c r="B65" s="138" t="s">
        <v>33</v>
      </c>
      <c r="C65" s="138" t="s">
        <v>189</v>
      </c>
      <c r="D65" s="140">
        <v>452000</v>
      </c>
      <c r="E65" s="140">
        <v>560000</v>
      </c>
      <c r="F65" s="141">
        <v>0</v>
      </c>
      <c r="G65" s="142"/>
      <c r="H65" s="141">
        <f>(Table242325678910111213[STOK])-(Table242325678910111213[TERJUAL])</f>
        <v>0</v>
      </c>
      <c r="I65" s="143">
        <f>(Table242325678910111213[HARGA JUAL]*Table242325678910111213[TERJUAL])-(Table242325678910111213[HARGA POKOK]*Table242325678910111213[TERJUAL])</f>
        <v>0</v>
      </c>
      <c r="J65" s="143">
        <f>(Table242325678910111213[HARGA JUAL]*Table242325678910111213[TERJUAL])</f>
        <v>0</v>
      </c>
      <c r="K65" s="143">
        <f>Table242325678910111213[HARGA JUAL]*Table242325678910111213[SISA]</f>
        <v>0</v>
      </c>
      <c r="L65" s="144">
        <f>Table242325678910111213[HARGA POKOK]*Table242325678910111213[STOK]</f>
        <v>0</v>
      </c>
      <c r="M65" s="144">
        <f>Table242325678910111213[HARGA JUAL]*Table242325678910111213[STOK]</f>
        <v>0</v>
      </c>
      <c r="N65" s="145"/>
    </row>
    <row r="66" spans="1:14" x14ac:dyDescent="0.25">
      <c r="A66" s="137">
        <v>61</v>
      </c>
      <c r="B66" s="138" t="s">
        <v>192</v>
      </c>
      <c r="C66" s="138" t="s">
        <v>142</v>
      </c>
      <c r="D66" s="140">
        <v>310000</v>
      </c>
      <c r="E66" s="140">
        <v>435000</v>
      </c>
      <c r="F66" s="141">
        <v>0</v>
      </c>
      <c r="G66" s="142"/>
      <c r="H66" s="141">
        <f>(Table242325678910111213[STOK])-(Table242325678910111213[TERJUAL])</f>
        <v>0</v>
      </c>
      <c r="I66" s="143">
        <f>(Table242325678910111213[HARGA JUAL]*Table242325678910111213[TERJUAL])-(Table242325678910111213[HARGA POKOK]*Table242325678910111213[TERJUAL])</f>
        <v>0</v>
      </c>
      <c r="J66" s="143">
        <f>(Table242325678910111213[HARGA JUAL]*Table242325678910111213[TERJUAL])</f>
        <v>0</v>
      </c>
      <c r="K66" s="143">
        <f>Table242325678910111213[HARGA JUAL]*Table242325678910111213[SISA]</f>
        <v>0</v>
      </c>
      <c r="L66" s="144">
        <f>Table242325678910111213[HARGA POKOK]*Table242325678910111213[STOK]</f>
        <v>0</v>
      </c>
      <c r="M66" s="144">
        <f>Table242325678910111213[HARGA JUAL]*Table242325678910111213[STOK]</f>
        <v>0</v>
      </c>
      <c r="N66" s="145"/>
    </row>
    <row r="67" spans="1:14" x14ac:dyDescent="0.25">
      <c r="A67" s="137">
        <v>62</v>
      </c>
      <c r="B67" s="138" t="s">
        <v>192</v>
      </c>
      <c r="C67" s="138" t="s">
        <v>269</v>
      </c>
      <c r="D67" s="140">
        <v>417000</v>
      </c>
      <c r="E67" s="140">
        <v>460000</v>
      </c>
      <c r="F67" s="141">
        <v>2</v>
      </c>
      <c r="G67" s="142">
        <v>2</v>
      </c>
      <c r="H67" s="141">
        <f>(Table242325678910111213[STOK])-(Table242325678910111213[TERJUAL])</f>
        <v>0</v>
      </c>
      <c r="I67" s="143">
        <f>(Table242325678910111213[HARGA JUAL]*Table242325678910111213[TERJUAL])-(Table242325678910111213[HARGA POKOK]*Table242325678910111213[TERJUAL])</f>
        <v>86000</v>
      </c>
      <c r="J67" s="143">
        <f>(Table242325678910111213[HARGA JUAL]*Table242325678910111213[TERJUAL])</f>
        <v>920000</v>
      </c>
      <c r="K67" s="143">
        <f>Table242325678910111213[HARGA JUAL]*Table242325678910111213[SISA]</f>
        <v>0</v>
      </c>
      <c r="L67" s="144">
        <f>Table242325678910111213[HARGA POKOK]*Table242325678910111213[STOK]</f>
        <v>834000</v>
      </c>
      <c r="M67" s="144">
        <f>Table242325678910111213[HARGA JUAL]*Table242325678910111213[STOK]</f>
        <v>920000</v>
      </c>
      <c r="N67" s="145"/>
    </row>
    <row r="68" spans="1:14" x14ac:dyDescent="0.25">
      <c r="A68" s="137">
        <v>63</v>
      </c>
      <c r="B68" s="138" t="s">
        <v>193</v>
      </c>
      <c r="C68" s="138" t="s">
        <v>191</v>
      </c>
      <c r="D68" s="140">
        <v>9000</v>
      </c>
      <c r="E68" s="140">
        <v>15000</v>
      </c>
      <c r="F68" s="141">
        <v>62</v>
      </c>
      <c r="G68" s="142">
        <v>4</v>
      </c>
      <c r="H68" s="141">
        <f>(Table242325678910111213[STOK])-(Table242325678910111213[TERJUAL])</f>
        <v>58</v>
      </c>
      <c r="I68" s="143">
        <f>(Table242325678910111213[HARGA JUAL]*Table242325678910111213[TERJUAL])-(Table242325678910111213[HARGA POKOK]*Table242325678910111213[TERJUAL])</f>
        <v>24000</v>
      </c>
      <c r="J68" s="143">
        <f>(Table242325678910111213[HARGA JUAL]*Table242325678910111213[TERJUAL])</f>
        <v>60000</v>
      </c>
      <c r="K68" s="143">
        <f>Table242325678910111213[HARGA JUAL]*Table242325678910111213[SISA]</f>
        <v>870000</v>
      </c>
      <c r="L68" s="144">
        <f>Table242325678910111213[HARGA POKOK]*Table242325678910111213[STOK]</f>
        <v>558000</v>
      </c>
      <c r="M68" s="144">
        <f>Table242325678910111213[HARGA JUAL]*Table242325678910111213[STOK]</f>
        <v>930000</v>
      </c>
      <c r="N68" s="145"/>
    </row>
    <row r="69" spans="1:14" x14ac:dyDescent="0.25">
      <c r="A69" s="137">
        <v>64</v>
      </c>
      <c r="B69" s="138" t="s">
        <v>193</v>
      </c>
      <c r="C69" s="138" t="s">
        <v>214</v>
      </c>
      <c r="D69" s="140">
        <v>9000</v>
      </c>
      <c r="E69" s="140">
        <v>15000</v>
      </c>
      <c r="F69" s="141">
        <v>60</v>
      </c>
      <c r="G69" s="142">
        <v>16</v>
      </c>
      <c r="H69" s="141">
        <f>(Table242325678910111213[STOK])-(Table242325678910111213[TERJUAL])</f>
        <v>44</v>
      </c>
      <c r="I69" s="143">
        <f>(Table242325678910111213[HARGA JUAL]*Table242325678910111213[TERJUAL])-(Table242325678910111213[HARGA POKOK]*Table242325678910111213[TERJUAL])</f>
        <v>96000</v>
      </c>
      <c r="J69" s="143">
        <f>(Table242325678910111213[HARGA JUAL]*Table242325678910111213[TERJUAL])</f>
        <v>240000</v>
      </c>
      <c r="K69" s="143">
        <f>Table242325678910111213[HARGA JUAL]*Table242325678910111213[SISA]</f>
        <v>660000</v>
      </c>
      <c r="L69" s="144">
        <f>Table242325678910111213[HARGA POKOK]*Table242325678910111213[STOK]</f>
        <v>540000</v>
      </c>
      <c r="M69" s="144">
        <f>Table242325678910111213[HARGA JUAL]*Table242325678910111213[STOK]</f>
        <v>900000</v>
      </c>
      <c r="N69" s="145"/>
    </row>
    <row r="70" spans="1:14" x14ac:dyDescent="0.25">
      <c r="A70" s="137">
        <v>65</v>
      </c>
      <c r="B70" s="138" t="s">
        <v>206</v>
      </c>
      <c r="C70" s="138" t="s">
        <v>207</v>
      </c>
      <c r="D70" s="140">
        <v>12000</v>
      </c>
      <c r="E70" s="140">
        <v>28000</v>
      </c>
      <c r="F70" s="141">
        <v>0</v>
      </c>
      <c r="G70" s="142"/>
      <c r="H70" s="141">
        <f>(Table242325678910111213[STOK])-(Table242325678910111213[TERJUAL])</f>
        <v>0</v>
      </c>
      <c r="I70" s="143">
        <f>(Table242325678910111213[HARGA JUAL]*Table242325678910111213[TERJUAL])-(Table242325678910111213[HARGA POKOK]*Table242325678910111213[TERJUAL])</f>
        <v>0</v>
      </c>
      <c r="J70" s="143">
        <f>(Table242325678910111213[HARGA JUAL]*Table242325678910111213[TERJUAL])</f>
        <v>0</v>
      </c>
      <c r="K70" s="143">
        <f>Table242325678910111213[HARGA JUAL]*Table242325678910111213[SISA]</f>
        <v>0</v>
      </c>
      <c r="L70" s="144">
        <f>Table242325678910111213[HARGA POKOK]*Table242325678910111213[STOK]</f>
        <v>0</v>
      </c>
      <c r="M70" s="144">
        <f>Table242325678910111213[HARGA JUAL]*Table242325678910111213[STOK]</f>
        <v>0</v>
      </c>
      <c r="N70" s="145"/>
    </row>
    <row r="71" spans="1:14" x14ac:dyDescent="0.25">
      <c r="A71" s="137">
        <v>66</v>
      </c>
      <c r="B71" s="138" t="s">
        <v>206</v>
      </c>
      <c r="C71" s="138" t="s">
        <v>208</v>
      </c>
      <c r="D71" s="140">
        <v>21000</v>
      </c>
      <c r="E71" s="140">
        <v>45000</v>
      </c>
      <c r="F71" s="141">
        <v>3</v>
      </c>
      <c r="G71" s="142">
        <v>1</v>
      </c>
      <c r="H71" s="141">
        <f>(Table242325678910111213[STOK])-(Table242325678910111213[TERJUAL])</f>
        <v>2</v>
      </c>
      <c r="I71" s="143">
        <f>(Table242325678910111213[HARGA JUAL]*Table242325678910111213[TERJUAL])-(Table242325678910111213[HARGA POKOK]*Table242325678910111213[TERJUAL])</f>
        <v>24000</v>
      </c>
      <c r="J71" s="143">
        <f>(Table242325678910111213[HARGA JUAL]*Table242325678910111213[TERJUAL])</f>
        <v>45000</v>
      </c>
      <c r="K71" s="143">
        <f>Table242325678910111213[HARGA JUAL]*Table242325678910111213[SISA]</f>
        <v>90000</v>
      </c>
      <c r="L71" s="144">
        <f>Table242325678910111213[HARGA POKOK]*Table242325678910111213[STOK]</f>
        <v>63000</v>
      </c>
      <c r="M71" s="144">
        <f>Table242325678910111213[HARGA JUAL]*Table242325678910111213[STOK]</f>
        <v>135000</v>
      </c>
      <c r="N71" s="145"/>
    </row>
    <row r="72" spans="1:14" x14ac:dyDescent="0.25">
      <c r="A72" s="137">
        <v>67</v>
      </c>
      <c r="B72" s="138" t="s">
        <v>209</v>
      </c>
      <c r="C72" s="138" t="s">
        <v>210</v>
      </c>
      <c r="D72" s="140">
        <v>20000</v>
      </c>
      <c r="E72" s="140">
        <v>40000</v>
      </c>
      <c r="F72" s="141">
        <v>5</v>
      </c>
      <c r="G72" s="142"/>
      <c r="H72" s="141">
        <f>(Table242325678910111213[STOK])-(Table242325678910111213[TERJUAL])</f>
        <v>5</v>
      </c>
      <c r="I72" s="143">
        <f>(Table242325678910111213[HARGA JUAL]*Table242325678910111213[TERJUAL])-(Table242325678910111213[HARGA POKOK]*Table242325678910111213[TERJUAL])</f>
        <v>0</v>
      </c>
      <c r="J72" s="143">
        <f>(Table242325678910111213[HARGA JUAL]*Table242325678910111213[TERJUAL])</f>
        <v>0</v>
      </c>
      <c r="K72" s="143">
        <f>Table242325678910111213[HARGA JUAL]*Table242325678910111213[SISA]</f>
        <v>200000</v>
      </c>
      <c r="L72" s="144">
        <f>Table242325678910111213[HARGA POKOK]*Table242325678910111213[STOK]</f>
        <v>100000</v>
      </c>
      <c r="M72" s="144">
        <f>Table242325678910111213[HARGA JUAL]*Table242325678910111213[STOK]</f>
        <v>200000</v>
      </c>
      <c r="N72" s="145"/>
    </row>
    <row r="73" spans="1:14" x14ac:dyDescent="0.25">
      <c r="A73" s="137">
        <v>68</v>
      </c>
      <c r="B73" s="138" t="s">
        <v>209</v>
      </c>
      <c r="C73" s="138" t="s">
        <v>211</v>
      </c>
      <c r="D73" s="140">
        <v>26000</v>
      </c>
      <c r="E73" s="140">
        <v>45000</v>
      </c>
      <c r="F73" s="141">
        <v>5</v>
      </c>
      <c r="G73" s="142"/>
      <c r="H73" s="141">
        <f>(Table242325678910111213[STOK])-(Table242325678910111213[TERJUAL])</f>
        <v>5</v>
      </c>
      <c r="I73" s="143">
        <f>(Table242325678910111213[HARGA JUAL]*Table242325678910111213[TERJUAL])-(Table242325678910111213[HARGA POKOK]*Table242325678910111213[TERJUAL])</f>
        <v>0</v>
      </c>
      <c r="J73" s="143">
        <f>(Table242325678910111213[HARGA JUAL]*Table242325678910111213[TERJUAL])</f>
        <v>0</v>
      </c>
      <c r="K73" s="143">
        <f>Table242325678910111213[HARGA JUAL]*Table242325678910111213[SISA]</f>
        <v>225000</v>
      </c>
      <c r="L73" s="144">
        <f>Table242325678910111213[HARGA POKOK]*Table242325678910111213[STOK]</f>
        <v>130000</v>
      </c>
      <c r="M73" s="144">
        <f>Table242325678910111213[HARGA JUAL]*Table242325678910111213[STOK]</f>
        <v>225000</v>
      </c>
      <c r="N73" s="145"/>
    </row>
    <row r="74" spans="1:14" x14ac:dyDescent="0.25">
      <c r="A74" s="137">
        <v>69</v>
      </c>
      <c r="B74" s="138" t="s">
        <v>212</v>
      </c>
      <c r="C74" s="138" t="s">
        <v>213</v>
      </c>
      <c r="D74" s="140">
        <v>600000</v>
      </c>
      <c r="E74" s="140">
        <v>800000</v>
      </c>
      <c r="F74" s="141">
        <v>1</v>
      </c>
      <c r="G74" s="142"/>
      <c r="H74" s="141">
        <f>(Table242325678910111213[STOK])-(Table242325678910111213[TERJUAL])</f>
        <v>1</v>
      </c>
      <c r="I74" s="143">
        <f>(Table242325678910111213[HARGA JUAL]*Table242325678910111213[TERJUAL])-(Table242325678910111213[HARGA POKOK]*Table242325678910111213[TERJUAL])</f>
        <v>0</v>
      </c>
      <c r="J74" s="143">
        <f>(Table242325678910111213[HARGA JUAL]*Table242325678910111213[TERJUAL])</f>
        <v>0</v>
      </c>
      <c r="K74" s="143">
        <f>Table242325678910111213[HARGA JUAL]*Table242325678910111213[SISA]</f>
        <v>800000</v>
      </c>
      <c r="L74" s="144">
        <f>Table242325678910111213[HARGA POKOK]*Table242325678910111213[STOK]</f>
        <v>600000</v>
      </c>
      <c r="M74" s="144">
        <f>Table242325678910111213[HARGA JUAL]*Table242325678910111213[STOK]</f>
        <v>800000</v>
      </c>
      <c r="N74" s="145"/>
    </row>
    <row r="75" spans="1:14" x14ac:dyDescent="0.25">
      <c r="A75" s="192">
        <v>70</v>
      </c>
      <c r="B75" s="193" t="s">
        <v>194</v>
      </c>
      <c r="C75" s="193" t="s">
        <v>194</v>
      </c>
      <c r="D75" s="194">
        <v>30000</v>
      </c>
      <c r="E75" s="194">
        <v>40000</v>
      </c>
      <c r="F75" s="195">
        <v>15</v>
      </c>
      <c r="G75" s="196"/>
      <c r="H75" s="195">
        <f>(Table242325678910111213[STOK])-(Table242325678910111213[TERJUAL])</f>
        <v>15</v>
      </c>
      <c r="I75" s="197">
        <f>(Table242325678910111213[HARGA JUAL]*Table242325678910111213[TERJUAL])-(Table242325678910111213[HARGA POKOK]*Table242325678910111213[TERJUAL])</f>
        <v>0</v>
      </c>
      <c r="J75" s="197">
        <f>(Table242325678910111213[HARGA JUAL]*Table242325678910111213[TERJUAL])</f>
        <v>0</v>
      </c>
      <c r="K75" s="197"/>
      <c r="L75" s="198"/>
      <c r="M75" s="198"/>
      <c r="N75" s="199"/>
    </row>
    <row r="76" spans="1:14" x14ac:dyDescent="0.25">
      <c r="A76" s="137">
        <v>71</v>
      </c>
      <c r="B76" s="146" t="s">
        <v>195</v>
      </c>
      <c r="C76" s="146" t="s">
        <v>195</v>
      </c>
      <c r="D76" s="147">
        <v>30000</v>
      </c>
      <c r="E76" s="147">
        <v>40000</v>
      </c>
      <c r="F76" s="148">
        <v>15</v>
      </c>
      <c r="G76" s="149"/>
      <c r="H76" s="148">
        <f>(Table242325678910111213[STOK])-(Table242325678910111213[TERJUAL])</f>
        <v>15</v>
      </c>
      <c r="I76" s="150">
        <f>(Table242325678910111213[HARGA JUAL]*Table242325678910111213[TERJUAL])-(Table242325678910111213[HARGA POKOK]*Table242325678910111213[TERJUAL])</f>
        <v>0</v>
      </c>
      <c r="J76" s="150">
        <f>(Table242325678910111213[HARGA JUAL]*Table242325678910111213[TERJUAL])</f>
        <v>0</v>
      </c>
      <c r="K76" s="150">
        <f>Table242325678910111213[HARGA JUAL]*Table242325678910111213[SISA]</f>
        <v>600000</v>
      </c>
      <c r="L76" s="151">
        <f>Table242325678910111213[HARGA POKOK]*Table242325678910111213[STOK]</f>
        <v>450000</v>
      </c>
      <c r="M76" s="151">
        <f>Table242325678910111213[HARGA JUAL]*Table242325678910111213[STOK]</f>
        <v>600000</v>
      </c>
      <c r="N76" s="152"/>
    </row>
    <row r="77" spans="1:14" x14ac:dyDescent="0.25">
      <c r="A77" s="192">
        <v>72</v>
      </c>
      <c r="B77" s="193" t="s">
        <v>215</v>
      </c>
      <c r="C77" s="193" t="s">
        <v>215</v>
      </c>
      <c r="D77" s="194">
        <v>310000</v>
      </c>
      <c r="E77" s="194">
        <v>410000</v>
      </c>
      <c r="F77" s="195">
        <v>0</v>
      </c>
      <c r="G77" s="196"/>
      <c r="H77" s="195">
        <f>(Table242325678910111213[STOK])-(Table242325678910111213[TERJUAL])</f>
        <v>0</v>
      </c>
      <c r="I77" s="197">
        <f>(Table242325678910111213[HARGA JUAL]*Table242325678910111213[TERJUAL])-(Table242325678910111213[HARGA POKOK]*Table242325678910111213[TERJUAL])</f>
        <v>0</v>
      </c>
      <c r="J77" s="197">
        <f>(Table242325678910111213[HARGA JUAL]*Table242325678910111213[TERJUAL])</f>
        <v>0</v>
      </c>
      <c r="K77" s="197">
        <f>Table242325678910111213[HARGA JUAL]*Table242325678910111213[SISA]</f>
        <v>0</v>
      </c>
      <c r="L77" s="198">
        <f>Table242325678910111213[HARGA POKOK]*Table242325678910111213[STOK]</f>
        <v>0</v>
      </c>
      <c r="M77" s="198">
        <f>Table242325678910111213[HARGA JUAL]*Table242325678910111213[STOK]</f>
        <v>0</v>
      </c>
      <c r="N77" s="199"/>
    </row>
    <row r="78" spans="1:14" s="180" customFormat="1" x14ac:dyDescent="0.25">
      <c r="A78" s="137">
        <v>73</v>
      </c>
      <c r="B78" s="153" t="s">
        <v>212</v>
      </c>
      <c r="C78" s="153" t="s">
        <v>213</v>
      </c>
      <c r="D78" s="154">
        <v>6000</v>
      </c>
      <c r="E78" s="154">
        <v>8000</v>
      </c>
      <c r="F78" s="155"/>
      <c r="G78" s="178">
        <v>10</v>
      </c>
      <c r="H78" s="155">
        <f>(Table242325678910111213[STOK])-(Table242325678910111213[TERJUAL])</f>
        <v>-10</v>
      </c>
      <c r="I78" s="157">
        <f>(Table242325678910111213[HARGA JUAL]*Table242325678910111213[TERJUAL])-(Table242325678910111213[HARGA POKOK]*Table242325678910111213[TERJUAL])</f>
        <v>20000</v>
      </c>
      <c r="J78" s="157">
        <f>(Table242325678910111213[HARGA JUAL]*Table242325678910111213[TERJUAL])</f>
        <v>80000</v>
      </c>
      <c r="K78" s="157"/>
      <c r="L78" s="158"/>
      <c r="M78" s="158"/>
      <c r="N78" s="179"/>
    </row>
    <row r="79" spans="1:14" s="180" customFormat="1" x14ac:dyDescent="0.25">
      <c r="A79" s="137">
        <v>74</v>
      </c>
      <c r="B79" s="153" t="s">
        <v>71</v>
      </c>
      <c r="C79" s="153" t="s">
        <v>194</v>
      </c>
      <c r="D79" s="154">
        <v>1200</v>
      </c>
      <c r="E79" s="154">
        <v>2000</v>
      </c>
      <c r="F79" s="155"/>
      <c r="G79" s="156">
        <v>24</v>
      </c>
      <c r="H79" s="155">
        <f>(Table242325678910111213[STOK])-(Table242325678910111213[TERJUAL])</f>
        <v>-24</v>
      </c>
      <c r="I79" s="157">
        <f>(Table242325678910111213[HARGA JUAL]*Table242325678910111213[TERJUAL])-(Table242325678910111213[HARGA POKOK]*Table242325678910111213[TERJUAL])</f>
        <v>19200</v>
      </c>
      <c r="J79" s="157">
        <f>(Table242325678910111213[HARGA JUAL]*Table242325678910111213[TERJUAL])</f>
        <v>48000</v>
      </c>
      <c r="K79" s="157"/>
      <c r="L79" s="158"/>
      <c r="M79" s="158"/>
      <c r="N79" s="179"/>
    </row>
    <row r="80" spans="1:14" s="180" customFormat="1" x14ac:dyDescent="0.25">
      <c r="A80" s="137">
        <v>75</v>
      </c>
      <c r="B80" s="153" t="s">
        <v>71</v>
      </c>
      <c r="C80" s="153" t="s">
        <v>195</v>
      </c>
      <c r="D80" s="154">
        <v>700</v>
      </c>
      <c r="E80" s="154">
        <v>1200</v>
      </c>
      <c r="F80" s="155"/>
      <c r="G80" s="156">
        <v>15</v>
      </c>
      <c r="H80" s="155">
        <f>(Table242325678910111213[STOK])-(Table242325678910111213[TERJUAL])</f>
        <v>-15</v>
      </c>
      <c r="I80" s="157">
        <f>(Table242325678910111213[HARGA JUAL]*Table242325678910111213[TERJUAL])-(Table242325678910111213[HARGA POKOK]*Table242325678910111213[TERJUAL])</f>
        <v>7500</v>
      </c>
      <c r="J80" s="157">
        <f>(Table242325678910111213[HARGA JUAL]*Table242325678910111213[TERJUAL])</f>
        <v>18000</v>
      </c>
      <c r="K80" s="157"/>
      <c r="L80" s="158"/>
      <c r="M80" s="158"/>
      <c r="N80" s="179"/>
    </row>
    <row r="81" spans="1:14" s="180" customFormat="1" x14ac:dyDescent="0.25">
      <c r="A81" s="137">
        <v>76</v>
      </c>
      <c r="B81" s="153" t="s">
        <v>68</v>
      </c>
      <c r="C81" s="153" t="s">
        <v>69</v>
      </c>
      <c r="D81" s="159">
        <v>6300</v>
      </c>
      <c r="E81" s="154">
        <v>10000</v>
      </c>
      <c r="F81" s="155"/>
      <c r="G81" s="178">
        <v>1276</v>
      </c>
      <c r="H81" s="155">
        <f>(Table242325678910111213[STOK])-(Table242325678910111213[TERJUAL])</f>
        <v>-1276</v>
      </c>
      <c r="I81" s="157">
        <f>(Table242325678910111213[HARGA JUAL]*Table242325678910111213[TERJUAL])-(Table242325678910111213[HARGA POKOK]*Table242325678910111213[TERJUAL])</f>
        <v>4721200</v>
      </c>
      <c r="J81" s="157">
        <f>(Table242325678910111213[HARGA JUAL]*Table242325678910111213[TERJUAL])</f>
        <v>12760000</v>
      </c>
      <c r="K81" s="157"/>
      <c r="L81" s="158"/>
      <c r="M81" s="158"/>
      <c r="N81" s="179"/>
    </row>
    <row r="82" spans="1:14" s="180" customFormat="1" x14ac:dyDescent="0.25">
      <c r="A82" s="137">
        <v>77</v>
      </c>
      <c r="B82" s="153" t="s">
        <v>173</v>
      </c>
      <c r="C82" s="153" t="s">
        <v>174</v>
      </c>
      <c r="D82" s="159">
        <v>9040</v>
      </c>
      <c r="E82" s="154">
        <v>12000</v>
      </c>
      <c r="F82" s="155"/>
      <c r="G82" s="156">
        <v>7</v>
      </c>
      <c r="H82" s="155">
        <f>(Table242325678910111213[STOK])-(Table242325678910111213[TERJUAL])</f>
        <v>-7</v>
      </c>
      <c r="I82" s="157">
        <f>(Table242325678910111213[HARGA JUAL]*Table242325678910111213[TERJUAL])-(Table242325678910111213[HARGA POKOK]*Table242325678910111213[TERJUAL])</f>
        <v>20720</v>
      </c>
      <c r="J82" s="157">
        <f>(Table242325678910111213[HARGA JUAL]*Table242325678910111213[TERJUAL])</f>
        <v>84000</v>
      </c>
      <c r="K82" s="157"/>
      <c r="L82" s="158"/>
      <c r="M82" s="158"/>
      <c r="N82" s="179"/>
    </row>
    <row r="83" spans="1:14" s="180" customFormat="1" x14ac:dyDescent="0.25">
      <c r="A83" s="137">
        <v>78</v>
      </c>
      <c r="B83" s="153" t="s">
        <v>146</v>
      </c>
      <c r="C83" s="153" t="s">
        <v>152</v>
      </c>
      <c r="D83" s="159">
        <v>6200</v>
      </c>
      <c r="E83" s="154">
        <v>10000</v>
      </c>
      <c r="F83" s="155"/>
      <c r="G83" s="160"/>
      <c r="H83" s="155">
        <f>(Table242325678910111213[STOK])-(Table242325678910111213[TERJUAL])</f>
        <v>0</v>
      </c>
      <c r="I83" s="157">
        <f>(Table242325678910111213[HARGA JUAL]*Table242325678910111213[TERJUAL])-(Table242325678910111213[HARGA POKOK]*Table242325678910111213[TERJUAL])</f>
        <v>0</v>
      </c>
      <c r="J83" s="157">
        <f>(Table242325678910111213[HARGA JUAL]*Table242325678910111213[TERJUAL])</f>
        <v>0</v>
      </c>
      <c r="K83" s="157"/>
      <c r="L83" s="158"/>
      <c r="M83" s="158"/>
      <c r="N83" s="179"/>
    </row>
    <row r="84" spans="1:14" s="180" customFormat="1" x14ac:dyDescent="0.25">
      <c r="A84" s="137">
        <v>79</v>
      </c>
      <c r="B84" s="153" t="s">
        <v>147</v>
      </c>
      <c r="C84" s="153" t="s">
        <v>153</v>
      </c>
      <c r="D84" s="159">
        <v>5600</v>
      </c>
      <c r="E84" s="154">
        <v>10000</v>
      </c>
      <c r="F84" s="155"/>
      <c r="G84" s="160"/>
      <c r="H84" s="155">
        <f>(Table242325678910111213[STOK])-(Table242325678910111213[TERJUAL])</f>
        <v>0</v>
      </c>
      <c r="I84" s="157">
        <f>(Table242325678910111213[HARGA JUAL]*Table242325678910111213[TERJUAL])-(Table242325678910111213[HARGA POKOK]*Table242325678910111213[TERJUAL])</f>
        <v>0</v>
      </c>
      <c r="J84" s="157">
        <f>(Table242325678910111213[HARGA JUAL]*Table242325678910111213[TERJUAL])</f>
        <v>0</v>
      </c>
      <c r="K84" s="157"/>
      <c r="L84" s="158"/>
      <c r="M84" s="158"/>
      <c r="N84" s="179"/>
    </row>
    <row r="85" spans="1:14" s="180" customFormat="1" x14ac:dyDescent="0.25">
      <c r="A85" s="137">
        <v>80</v>
      </c>
      <c r="B85" s="167" t="s">
        <v>204</v>
      </c>
      <c r="C85" s="167" t="s">
        <v>205</v>
      </c>
      <c r="D85" s="168">
        <v>13000</v>
      </c>
      <c r="E85" s="169">
        <v>15000</v>
      </c>
      <c r="F85" s="170"/>
      <c r="G85" s="171"/>
      <c r="H85" s="172">
        <f>(Table242325678910111213[STOK])-(Table242325678910111213[TERJUAL])</f>
        <v>0</v>
      </c>
      <c r="I85" s="173">
        <f>(Table242325678910111213[HARGA JUAL]*Table242325678910111213[TERJUAL])-(Table242325678910111213[HARGA POKOK]*Table242325678910111213[TERJUAL])</f>
        <v>0</v>
      </c>
      <c r="J85" s="173">
        <f>(Table242325678910111213[HARGA JUAL]*Table242325678910111213[TERJUAL])</f>
        <v>0</v>
      </c>
      <c r="K85" s="173"/>
      <c r="L85" s="174"/>
      <c r="M85" s="174"/>
      <c r="N85" s="181"/>
    </row>
    <row r="86" spans="1:14" ht="18.75" x14ac:dyDescent="0.25">
      <c r="A86" s="404" t="s">
        <v>8</v>
      </c>
      <c r="B86" s="404"/>
      <c r="C86" s="404"/>
      <c r="D86" s="404"/>
      <c r="E86" s="404"/>
      <c r="F86" s="39"/>
      <c r="G86" s="39"/>
      <c r="H86" s="40"/>
      <c r="I86" s="175">
        <f>SUM(I5:I85)</f>
        <v>12963020</v>
      </c>
      <c r="J86" s="176">
        <f>SUM(J5:J85)</f>
        <v>48802000</v>
      </c>
      <c r="K86" s="41">
        <f>SUBTOTAL(109,Table242325678910111213[TOTAL HARGA SISA BARANG])</f>
        <v>261417000</v>
      </c>
      <c r="L86" s="177">
        <f>SUM(L5:L85)</f>
        <v>228089300</v>
      </c>
      <c r="M86" s="42">
        <f>SUM(M5:M68)</f>
        <v>294369000</v>
      </c>
      <c r="N86" s="145"/>
    </row>
    <row r="87" spans="1:14" x14ac:dyDescent="0.25">
      <c r="B87" s="1"/>
      <c r="C87" s="3"/>
      <c r="G87" s="1"/>
      <c r="H87" s="11"/>
      <c r="I87" s="6"/>
      <c r="J87" s="6"/>
      <c r="K87" s="6"/>
      <c r="L87" s="1"/>
      <c r="M87" s="1"/>
    </row>
    <row r="88" spans="1:14" x14ac:dyDescent="0.25">
      <c r="A88" s="165" t="s">
        <v>241</v>
      </c>
      <c r="B88" s="28"/>
      <c r="C88" s="28"/>
      <c r="E88" s="386" t="s">
        <v>219</v>
      </c>
      <c r="F88" s="386"/>
      <c r="G88" s="386"/>
      <c r="H88" s="386"/>
      <c r="I88" s="386"/>
      <c r="J88" s="386"/>
      <c r="K88" s="236"/>
      <c r="L88" s="1"/>
      <c r="M88" s="1"/>
    </row>
    <row r="89" spans="1:14" x14ac:dyDescent="0.25">
      <c r="A89" s="165" t="s">
        <v>198</v>
      </c>
      <c r="B89" s="28"/>
      <c r="C89" s="28"/>
      <c r="E89" s="161"/>
      <c r="F89" s="161"/>
      <c r="G89" s="387"/>
      <c r="H89" s="387"/>
      <c r="I89" s="28"/>
      <c r="J89" s="28"/>
      <c r="K89" s="28"/>
      <c r="L89" s="7"/>
    </row>
    <row r="90" spans="1:14" x14ac:dyDescent="0.25">
      <c r="A90" s="165" t="s">
        <v>199</v>
      </c>
      <c r="B90" s="1"/>
      <c r="C90" s="3"/>
      <c r="E90" s="161"/>
      <c r="F90" s="161"/>
      <c r="G90" s="94"/>
      <c r="H90" s="94"/>
      <c r="I90" s="28"/>
      <c r="J90" s="28"/>
      <c r="K90" s="28"/>
      <c r="L90" s="28"/>
    </row>
    <row r="91" spans="1:14" x14ac:dyDescent="0.25">
      <c r="A91" s="165" t="s">
        <v>200</v>
      </c>
      <c r="E91" s="43" t="s">
        <v>82</v>
      </c>
      <c r="F91" s="44"/>
      <c r="G91" s="390">
        <f>SUBTOTAL(109,Table242325678910111213[TOTAL H. B. LAKU TERJUAL])</f>
        <v>48802000</v>
      </c>
      <c r="H91" s="390"/>
      <c r="I91" s="390"/>
      <c r="J91" s="43"/>
      <c r="K91" s="7"/>
      <c r="L91" s="27"/>
      <c r="M91" s="1"/>
    </row>
    <row r="92" spans="1:14" x14ac:dyDescent="0.25">
      <c r="A92" s="165" t="s">
        <v>274</v>
      </c>
      <c r="C92" s="1"/>
      <c r="E92" s="43"/>
      <c r="F92" s="44"/>
      <c r="G92" s="237"/>
      <c r="H92" s="237"/>
      <c r="I92" s="237"/>
      <c r="J92" s="43"/>
      <c r="K92" s="7"/>
      <c r="L92" s="27"/>
      <c r="M92" s="1"/>
    </row>
    <row r="93" spans="1:14" x14ac:dyDescent="0.25">
      <c r="A93" s="407" t="s">
        <v>0</v>
      </c>
      <c r="B93" s="406" t="s">
        <v>275</v>
      </c>
      <c r="C93" s="406"/>
      <c r="E93" s="43" t="s">
        <v>83</v>
      </c>
      <c r="F93" s="45" t="s">
        <v>84</v>
      </c>
      <c r="G93" s="391">
        <v>706000</v>
      </c>
      <c r="H93" s="391"/>
      <c r="I93" s="391"/>
      <c r="J93" s="43"/>
      <c r="K93" s="7"/>
      <c r="L93" s="27"/>
      <c r="M93" s="1"/>
    </row>
    <row r="94" spans="1:14" x14ac:dyDescent="0.25">
      <c r="A94" s="407"/>
      <c r="B94" s="225" t="s">
        <v>276</v>
      </c>
      <c r="C94" s="228" t="s">
        <v>277</v>
      </c>
      <c r="E94" s="43" t="s">
        <v>8</v>
      </c>
      <c r="F94" s="43"/>
      <c r="G94" s="392">
        <f>(G91-G93)</f>
        <v>48096000</v>
      </c>
      <c r="H94" s="392"/>
      <c r="I94" s="392"/>
      <c r="J94" s="43"/>
      <c r="K94" s="7"/>
      <c r="L94" s="27"/>
      <c r="M94" s="1"/>
    </row>
    <row r="95" spans="1:14" x14ac:dyDescent="0.25">
      <c r="A95" s="145"/>
      <c r="B95" s="225" t="s">
        <v>278</v>
      </c>
      <c r="C95" s="228" t="s">
        <v>279</v>
      </c>
      <c r="M95" s="1"/>
    </row>
    <row r="96" spans="1:14" x14ac:dyDescent="0.25">
      <c r="A96" s="165"/>
      <c r="C96" s="1"/>
      <c r="M96" s="1"/>
    </row>
    <row r="97" spans="1:12" ht="18.75" x14ac:dyDescent="0.3">
      <c r="A97" s="360" t="s">
        <v>99</v>
      </c>
      <c r="B97" s="360"/>
      <c r="C97" s="360"/>
      <c r="D97" s="360"/>
    </row>
    <row r="98" spans="1:12" ht="18.75" x14ac:dyDescent="0.3">
      <c r="A98" s="360" t="s">
        <v>270</v>
      </c>
      <c r="B98" s="360"/>
      <c r="C98" s="360"/>
      <c r="D98" s="360"/>
    </row>
    <row r="99" spans="1:12" ht="18.75" x14ac:dyDescent="0.3">
      <c r="A99" s="360" t="s">
        <v>75</v>
      </c>
      <c r="B99" s="360"/>
      <c r="C99" s="360"/>
      <c r="D99" s="360"/>
    </row>
    <row r="100" spans="1:12" ht="15.75" x14ac:dyDescent="0.25">
      <c r="A100" s="356" t="s">
        <v>111</v>
      </c>
      <c r="B100" s="357"/>
      <c r="C100" s="356" t="s">
        <v>77</v>
      </c>
      <c r="D100" s="357"/>
      <c r="E100" s="7"/>
    </row>
    <row r="101" spans="1:12" ht="15.75" x14ac:dyDescent="0.25">
      <c r="A101" s="234" t="s">
        <v>103</v>
      </c>
      <c r="B101" s="235"/>
      <c r="C101" s="46"/>
      <c r="D101" s="203">
        <v>48096000</v>
      </c>
      <c r="E101" s="218"/>
    </row>
    <row r="102" spans="1:12" ht="15.75" x14ac:dyDescent="0.25">
      <c r="A102" s="354" t="s">
        <v>102</v>
      </c>
      <c r="B102" s="355"/>
      <c r="C102" s="46"/>
      <c r="D102" s="204"/>
      <c r="E102" s="219"/>
    </row>
    <row r="103" spans="1:12" ht="15.75" x14ac:dyDescent="0.25">
      <c r="A103" s="356" t="s">
        <v>104</v>
      </c>
      <c r="B103" s="357"/>
      <c r="C103" s="46"/>
      <c r="D103" s="203"/>
      <c r="E103" s="219"/>
    </row>
    <row r="104" spans="1:12" ht="15.75" x14ac:dyDescent="0.25">
      <c r="A104" s="350" t="s">
        <v>106</v>
      </c>
      <c r="B104" s="351"/>
      <c r="C104" s="46"/>
      <c r="D104" s="204">
        <v>35132980</v>
      </c>
      <c r="E104" s="219"/>
      <c r="F104" s="220"/>
      <c r="G104" s="220"/>
      <c r="H104" s="221"/>
      <c r="I104" s="222"/>
    </row>
    <row r="105" spans="1:12" ht="15.75" x14ac:dyDescent="0.25">
      <c r="A105" s="358" t="s">
        <v>161</v>
      </c>
      <c r="B105" s="359"/>
      <c r="C105" s="49"/>
      <c r="D105" s="205">
        <f>(D101-D104)</f>
        <v>12963020</v>
      </c>
      <c r="E105" s="218"/>
      <c r="F105" s="223"/>
      <c r="G105" s="223"/>
      <c r="H105" s="224"/>
      <c r="I105" s="224"/>
    </row>
    <row r="106" spans="1:12" ht="15.75" x14ac:dyDescent="0.25">
      <c r="A106" s="358" t="s">
        <v>158</v>
      </c>
      <c r="B106" s="359"/>
      <c r="C106" s="49"/>
      <c r="D106" s="206"/>
      <c r="F106" s="223"/>
    </row>
    <row r="107" spans="1:12" ht="15.75" x14ac:dyDescent="0.25">
      <c r="A107" s="400" t="s">
        <v>162</v>
      </c>
      <c r="B107" s="401"/>
      <c r="C107" s="49"/>
      <c r="D107" s="205">
        <f>SUM(D105:D106)</f>
        <v>12963020</v>
      </c>
      <c r="F107" s="7"/>
      <c r="G107" s="7"/>
      <c r="I107" s="186"/>
      <c r="L107" s="183"/>
    </row>
    <row r="108" spans="1:12" ht="15.75" x14ac:dyDescent="0.25">
      <c r="A108" s="346" t="s">
        <v>105</v>
      </c>
      <c r="B108" s="347"/>
      <c r="C108" s="46"/>
      <c r="D108" s="207"/>
      <c r="I108" s="186"/>
      <c r="L108" s="183"/>
    </row>
    <row r="109" spans="1:12" ht="15.75" x14ac:dyDescent="0.25">
      <c r="A109" s="348" t="s">
        <v>97</v>
      </c>
      <c r="B109" s="349"/>
      <c r="C109" s="46">
        <v>2000000</v>
      </c>
      <c r="D109" s="204"/>
      <c r="I109" s="187"/>
      <c r="L109" s="183"/>
    </row>
    <row r="110" spans="1:12" ht="15.75" x14ac:dyDescent="0.25">
      <c r="A110" s="350" t="s">
        <v>98</v>
      </c>
      <c r="B110" s="351"/>
      <c r="C110" s="46">
        <v>520000</v>
      </c>
      <c r="D110" s="204"/>
      <c r="L110" s="183"/>
    </row>
    <row r="111" spans="1:12" ht="15.75" x14ac:dyDescent="0.25">
      <c r="A111" s="350" t="s">
        <v>272</v>
      </c>
      <c r="B111" s="351"/>
      <c r="C111" s="46">
        <v>150000</v>
      </c>
      <c r="D111" s="204"/>
      <c r="L111" s="183"/>
    </row>
    <row r="112" spans="1:12" ht="15.75" x14ac:dyDescent="0.25">
      <c r="A112" s="350" t="s">
        <v>280</v>
      </c>
      <c r="B112" s="351"/>
      <c r="C112" s="46">
        <v>60000</v>
      </c>
      <c r="D112" s="204"/>
      <c r="L112" s="183"/>
    </row>
    <row r="113" spans="1:4" ht="15.75" x14ac:dyDescent="0.25">
      <c r="A113" s="238" t="s">
        <v>271</v>
      </c>
      <c r="B113" s="239"/>
      <c r="C113" s="114">
        <v>300000</v>
      </c>
      <c r="D113" s="208"/>
    </row>
    <row r="114" spans="1:4" ht="15.75" x14ac:dyDescent="0.25">
      <c r="A114" s="113" t="s">
        <v>267</v>
      </c>
      <c r="B114" s="113"/>
      <c r="C114" s="114">
        <v>366000</v>
      </c>
      <c r="D114" s="208"/>
    </row>
    <row r="115" spans="1:4" ht="15.75" x14ac:dyDescent="0.25">
      <c r="A115" s="352" t="s">
        <v>107</v>
      </c>
      <c r="B115" s="353"/>
      <c r="C115" s="51" t="s">
        <v>117</v>
      </c>
      <c r="D115" s="209">
        <f>SUM(C109:C114)</f>
        <v>3396000</v>
      </c>
    </row>
    <row r="116" spans="1:4" ht="15.75" x14ac:dyDescent="0.25">
      <c r="A116" s="344" t="s">
        <v>108</v>
      </c>
      <c r="B116" s="345"/>
      <c r="C116" s="51"/>
      <c r="D116" s="204"/>
    </row>
    <row r="117" spans="1:4" ht="15.75" x14ac:dyDescent="0.25">
      <c r="A117" s="346" t="s">
        <v>109</v>
      </c>
      <c r="B117" s="347"/>
      <c r="C117" s="48"/>
      <c r="D117" s="205">
        <f>(D107-D115)</f>
        <v>9567020</v>
      </c>
    </row>
    <row r="120" spans="1:4" x14ac:dyDescent="0.25">
      <c r="A120" s="228" t="s">
        <v>0</v>
      </c>
      <c r="B120" s="228" t="s">
        <v>248</v>
      </c>
      <c r="C120" s="228" t="s">
        <v>77</v>
      </c>
    </row>
    <row r="121" spans="1:4" x14ac:dyDescent="0.25">
      <c r="A121" s="228">
        <v>1</v>
      </c>
      <c r="B121" s="225" t="s">
        <v>245</v>
      </c>
      <c r="C121" s="226">
        <v>9500000</v>
      </c>
    </row>
    <row r="122" spans="1:4" x14ac:dyDescent="0.25">
      <c r="A122" s="228">
        <v>2</v>
      </c>
      <c r="B122" s="225" t="s">
        <v>273</v>
      </c>
      <c r="C122" s="226">
        <v>300000</v>
      </c>
    </row>
    <row r="123" spans="1:4" x14ac:dyDescent="0.25">
      <c r="A123" s="228">
        <v>3</v>
      </c>
      <c r="B123" s="225" t="s">
        <v>246</v>
      </c>
      <c r="C123" s="226">
        <v>1215000</v>
      </c>
    </row>
    <row r="124" spans="1:4" x14ac:dyDescent="0.25">
      <c r="A124" s="228">
        <v>4</v>
      </c>
      <c r="B124" s="227" t="s">
        <v>8</v>
      </c>
      <c r="C124" s="226">
        <f>SUM(C121:C123)</f>
        <v>11015000</v>
      </c>
    </row>
  </sheetData>
  <mergeCells count="29">
    <mergeCell ref="A100:B100"/>
    <mergeCell ref="C100:D100"/>
    <mergeCell ref="A1:N1"/>
    <mergeCell ref="A2:N2"/>
    <mergeCell ref="A86:E86"/>
    <mergeCell ref="E88:J88"/>
    <mergeCell ref="G89:H89"/>
    <mergeCell ref="G91:I91"/>
    <mergeCell ref="G93:I93"/>
    <mergeCell ref="G94:I94"/>
    <mergeCell ref="A97:D97"/>
    <mergeCell ref="A98:D98"/>
    <mergeCell ref="A99:D99"/>
    <mergeCell ref="B93:C93"/>
    <mergeCell ref="A93:A94"/>
    <mergeCell ref="A117:B117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5:B115"/>
    <mergeCell ref="A116:B116"/>
    <mergeCell ref="A111:B111"/>
    <mergeCell ref="A112:B112"/>
  </mergeCells>
  <pageMargins left="0.70866141732283472" right="0.70866141732283472" top="0.74803149606299213" bottom="0.35433070866141736" header="0.31496062992125984" footer="0.31496062992125984"/>
  <pageSetup paperSize="9" scale="55" fitToHeight="0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7"/>
  <sheetViews>
    <sheetView topLeftCell="A106" workbookViewId="0">
      <selection activeCell="F97" sqref="F97"/>
    </sheetView>
  </sheetViews>
  <sheetFormatPr defaultRowHeight="15" x14ac:dyDescent="0.25"/>
  <cols>
    <col min="1" max="1" width="6.140625" customWidth="1"/>
    <col min="2" max="2" width="23.42578125" customWidth="1"/>
    <col min="3" max="3" width="28" customWidth="1"/>
    <col min="4" max="4" width="18.5703125" customWidth="1"/>
    <col min="5" max="5" width="15.42578125" customWidth="1"/>
    <col min="6" max="6" width="8" customWidth="1"/>
    <col min="7" max="7" width="11.85546875" customWidth="1"/>
    <col min="8" max="8" width="1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281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s="250" customFormat="1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141">
        <v>117</v>
      </c>
      <c r="G5" s="142">
        <v>95</v>
      </c>
      <c r="H5" s="141">
        <f>(Table24232567891011121314[STOK])-(Table24232567891011121314[TERJUAL])</f>
        <v>22</v>
      </c>
      <c r="I5" s="143">
        <f>(Table24232567891011121314[HARGA JUAL]*Table24232567891011121314[TERJUAL])-(Table24232567891011121314[HARGA POKOK]*Table24232567891011121314[TERJUAL])</f>
        <v>2090000</v>
      </c>
      <c r="J5" s="143">
        <f>(Table24232567891011121314[HARGA JUAL]*Table24232567891011121314[TERJUAL])</f>
        <v>9215000</v>
      </c>
      <c r="K5" s="143">
        <f>Table24232567891011121314[HARGA JUAL]*Table24232567891011121314[SISA]</f>
        <v>2134000</v>
      </c>
      <c r="L5" s="144">
        <f>Table24232567891011121314[HARGA POKOK]*Table24232567891011121314[STOK]</f>
        <v>8775000</v>
      </c>
      <c r="M5" s="144">
        <f>Table24232567891011121314[HARGA JUAL]*Table24232567891011121314[STOK]</f>
        <v>11349000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141">
        <v>199</v>
      </c>
      <c r="G6" s="142">
        <v>34</v>
      </c>
      <c r="H6" s="141">
        <f>(Table24232567891011121314[STOK])-(Table24232567891011121314[TERJUAL])</f>
        <v>165</v>
      </c>
      <c r="I6" s="143">
        <f>(Table24232567891011121314[HARGA JUAL]*Table24232567891011121314[TERJUAL])-(Table24232567891011121314[HARGA POKOK]*Table24232567891011121314[TERJUAL])</f>
        <v>680000</v>
      </c>
      <c r="J6" s="143">
        <f>(Table24232567891011121314[HARGA JUAL]*Table24232567891011121314[TERJUAL])</f>
        <v>2720000</v>
      </c>
      <c r="K6" s="143">
        <f>Table24232567891011121314[HARGA JUAL]*Table24232567891011121314[SISA]</f>
        <v>13200000</v>
      </c>
      <c r="L6" s="144">
        <f>Table24232567891011121314[HARGA POKOK]*Table24232567891011121314[STOK]</f>
        <v>11940000</v>
      </c>
      <c r="M6" s="144">
        <f>Table24232567891011121314[HARGA JUAL]*Table24232567891011121314[STOK]</f>
        <v>15920000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52500</v>
      </c>
      <c r="E7" s="140">
        <v>70000</v>
      </c>
      <c r="F7" s="141">
        <v>2</v>
      </c>
      <c r="G7" s="142">
        <v>2</v>
      </c>
      <c r="H7" s="141">
        <f>(Table24232567891011121314[STOK])-(Table24232567891011121314[TERJUAL])</f>
        <v>0</v>
      </c>
      <c r="I7" s="143">
        <f>(Table24232567891011121314[HARGA JUAL]*Table24232567891011121314[TERJUAL])-(Table24232567891011121314[HARGA POKOK]*Table24232567891011121314[TERJUAL])</f>
        <v>35000</v>
      </c>
      <c r="J7" s="143">
        <f>(Table24232567891011121314[HARGA JUAL]*Table24232567891011121314[TERJUAL])</f>
        <v>140000</v>
      </c>
      <c r="K7" s="143">
        <f>Table24232567891011121314[HARGA JUAL]*Table24232567891011121314[SISA]</f>
        <v>0</v>
      </c>
      <c r="L7" s="144">
        <f>Table24232567891011121314[HARGA POKOK]*Table24232567891011121314[STOK]</f>
        <v>105000</v>
      </c>
      <c r="M7" s="144">
        <f>Table24232567891011121314[HARGA JUAL]*Table24232567891011121314[STOK]</f>
        <v>140000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132</v>
      </c>
      <c r="G8" s="142">
        <v>57</v>
      </c>
      <c r="H8" s="141">
        <f>(Table24232567891011121314[STOK])-(Table24232567891011121314[TERJUAL])</f>
        <v>75</v>
      </c>
      <c r="I8" s="143">
        <f>(Table24232567891011121314[HARGA JUAL]*Table24232567891011121314[TERJUAL])-(Table24232567891011121314[HARGA POKOK]*Table24232567891011121314[TERJUAL])</f>
        <v>940500</v>
      </c>
      <c r="J8" s="143">
        <f>(Table24232567891011121314[HARGA JUAL]*Table24232567891011121314[TERJUAL])</f>
        <v>4674000</v>
      </c>
      <c r="K8" s="143">
        <f>Table24232567891011121314[HARGA JUAL]*Table24232567891011121314[SISA]</f>
        <v>6150000</v>
      </c>
      <c r="L8" s="144">
        <f>Table24232567891011121314[HARGA POKOK]*Table24232567891011121314[STOK]</f>
        <v>8646000</v>
      </c>
      <c r="M8" s="144">
        <f>Table24232567891011121314[HARGA JUAL]*Table24232567891011121314[STOK]</f>
        <v>10824000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248</v>
      </c>
      <c r="G9" s="142">
        <v>17</v>
      </c>
      <c r="H9" s="141">
        <f>(Table24232567891011121314[STOK])-(Table24232567891011121314[TERJUAL])</f>
        <v>231</v>
      </c>
      <c r="I9" s="143">
        <f>(Table24232567891011121314[HARGA JUAL]*Table24232567891011121314[TERJUAL])-(Table24232567891011121314[HARGA POKOK]*Table24232567891011121314[TERJUAL])</f>
        <v>365500</v>
      </c>
      <c r="J9" s="143">
        <f>(Table24232567891011121314[HARGA JUAL]*Table24232567891011121314[TERJUAL])</f>
        <v>1360000</v>
      </c>
      <c r="K9" s="143">
        <f>Table24232567891011121314[HARGA JUAL]*Table24232567891011121314[SISA]</f>
        <v>18480000</v>
      </c>
      <c r="L9" s="144">
        <f>Table24232567891011121314[HARGA POKOK]*Table24232567891011121314[STOK]</f>
        <v>14508000</v>
      </c>
      <c r="M9" s="144">
        <f>Table24232567891011121314[HARGA JUAL]*Table24232567891011121314[STOK]</f>
        <v>19840000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27</v>
      </c>
      <c r="G10" s="142">
        <v>5</v>
      </c>
      <c r="H10" s="141">
        <f>(Table24232567891011121314[STOK])-(Table24232567891011121314[TERJUAL])</f>
        <v>22</v>
      </c>
      <c r="I10" s="143">
        <f>(Table24232567891011121314[HARGA JUAL]*Table24232567891011121314[TERJUAL])-(Table24232567891011121314[HARGA POKOK]*Table24232567891011121314[TERJUAL])</f>
        <v>132500</v>
      </c>
      <c r="J10" s="143">
        <f>(Table24232567891011121314[HARGA JUAL]*Table24232567891011121314[TERJUAL])</f>
        <v>550000</v>
      </c>
      <c r="K10" s="143">
        <f>Table24232567891011121314[HARGA JUAL]*Table24232567891011121314[SISA]</f>
        <v>2420000</v>
      </c>
      <c r="L10" s="144">
        <f>Table24232567891011121314[HARGA POKOK]*Table24232567891011121314[STOK]</f>
        <v>2254500</v>
      </c>
      <c r="M10" s="144">
        <f>Table24232567891011121314[HARGA JUAL]*Table24232567891011121314[STOK]</f>
        <v>2970000</v>
      </c>
      <c r="N10" s="145"/>
    </row>
    <row r="11" spans="1:14" x14ac:dyDescent="0.25">
      <c r="A11" s="137">
        <v>7</v>
      </c>
      <c r="B11" s="138" t="s">
        <v>28</v>
      </c>
      <c r="C11" s="138" t="s">
        <v>38</v>
      </c>
      <c r="D11" s="140">
        <v>88500</v>
      </c>
      <c r="E11" s="140">
        <v>50000</v>
      </c>
      <c r="F11" s="141">
        <v>16</v>
      </c>
      <c r="G11" s="142">
        <v>4</v>
      </c>
      <c r="H11" s="141">
        <f>(Table24232567891011121314[STOK])-(Table24232567891011121314[TERJUAL])</f>
        <v>12</v>
      </c>
      <c r="I11" s="143">
        <f>(Table24232567891011121314[HARGA JUAL]*Table24232567891011121314[TERJUAL])-(Table24232567891011121314[HARGA POKOK]*Table24232567891011121314[TERJUAL])</f>
        <v>-154000</v>
      </c>
      <c r="J11" s="143">
        <f>(Table24232567891011121314[HARGA JUAL]*Table24232567891011121314[TERJUAL])</f>
        <v>200000</v>
      </c>
      <c r="K11" s="143">
        <f>Table24232567891011121314[HARGA JUAL]*Table24232567891011121314[SISA]</f>
        <v>600000</v>
      </c>
      <c r="L11" s="144">
        <f>Table24232567891011121314[HARGA POKOK]*Table24232567891011121314[STOK]</f>
        <v>1416000</v>
      </c>
      <c r="M11" s="144">
        <f>Table24232567891011121314[HARGA JUAL]*Table24232567891011121314[STOK]</f>
        <v>800000</v>
      </c>
      <c r="N11" s="145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71</v>
      </c>
      <c r="G12" s="142">
        <v>3</v>
      </c>
      <c r="H12" s="141">
        <f>(Table24232567891011121314[STOK])-(Table24232567891011121314[TERJUAL])</f>
        <v>68</v>
      </c>
      <c r="I12" s="143">
        <f>(Table24232567891011121314[HARGA JUAL]*Table24232567891011121314[TERJUAL])-(Table24232567891011121314[HARGA POKOK]*Table24232567891011121314[TERJUAL])</f>
        <v>18000</v>
      </c>
      <c r="J12" s="143">
        <f>(Table24232567891011121314[HARGA JUAL]*Table24232567891011121314[TERJUAL])</f>
        <v>270000</v>
      </c>
      <c r="K12" s="143">
        <f>Table24232567891011121314[HARGA JUAL]*Table24232567891011121314[SISA]</f>
        <v>6120000</v>
      </c>
      <c r="L12" s="144">
        <f>Table24232567891011121314[HARGA POKOK]*Table24232567891011121314[STOK]</f>
        <v>5964000</v>
      </c>
      <c r="M12" s="144">
        <f>Table24232567891011121314[HARGA JUAL]*Table24232567891011121314[STOK]</f>
        <v>6390000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18</v>
      </c>
      <c r="G13" s="142">
        <v>3</v>
      </c>
      <c r="H13" s="141">
        <f>(Table24232567891011121314[STOK])-(Table24232567891011121314[TERJUAL])</f>
        <v>15</v>
      </c>
      <c r="I13" s="143">
        <f>(Table24232567891011121314[HARGA JUAL]*Table24232567891011121314[TERJUAL])-(Table24232567891011121314[HARGA POKOK]*Table24232567891011121314[TERJUAL])</f>
        <v>64500</v>
      </c>
      <c r="J13" s="143">
        <f>(Table24232567891011121314[HARGA JUAL]*Table24232567891011121314[TERJUAL])</f>
        <v>540000</v>
      </c>
      <c r="K13" s="143">
        <f>Table24232567891011121314[HARGA JUAL]*Table24232567891011121314[SISA]</f>
        <v>2700000</v>
      </c>
      <c r="L13" s="144">
        <f>Table24232567891011121314[HARGA POKOK]*Table24232567891011121314[STOK]</f>
        <v>2853000</v>
      </c>
      <c r="M13" s="144">
        <f>Table24232567891011121314[HARGA JUAL]*Table24232567891011121314[STOK]</f>
        <v>3240000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150000</v>
      </c>
      <c r="F14" s="141">
        <v>34</v>
      </c>
      <c r="G14" s="142">
        <v>1</v>
      </c>
      <c r="H14" s="141">
        <f>(Table24232567891011121314[STOK])-(Table24232567891011121314[TERJUAL])</f>
        <v>33</v>
      </c>
      <c r="I14" s="143">
        <f>(Table24232567891011121314[HARGA JUAL]*Table24232567891011121314[TERJUAL])-(Table24232567891011121314[HARGA POKOK]*Table24232567891011121314[TERJUAL])</f>
        <v>17000</v>
      </c>
      <c r="J14" s="143">
        <f>(Table24232567891011121314[HARGA JUAL]*Table24232567891011121314[TERJUAL])</f>
        <v>150000</v>
      </c>
      <c r="K14" s="143">
        <f>Table24232567891011121314[HARGA JUAL]*Table24232567891011121314[SISA]</f>
        <v>4950000</v>
      </c>
      <c r="L14" s="144">
        <f>Table24232567891011121314[HARGA POKOK]*Table24232567891011121314[STOK]</f>
        <v>4522000</v>
      </c>
      <c r="M14" s="144">
        <f>Table24232567891011121314[HARGA JUAL]*Table24232567891011121314[STOK]</f>
        <v>5100000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0</v>
      </c>
      <c r="G15" s="142"/>
      <c r="H15" s="141">
        <f>(Table24232567891011121314[STOK])-(Table24232567891011121314[TERJUAL])</f>
        <v>0</v>
      </c>
      <c r="I15" s="143">
        <f>(Table24232567891011121314[HARGA JUAL]*Table24232567891011121314[TERJUAL])-(Table24232567891011121314[HARGA POKOK]*Table24232567891011121314[TERJUAL])</f>
        <v>0</v>
      </c>
      <c r="J15" s="143">
        <f>(Table24232567891011121314[HARGA JUAL]*Table24232567891011121314[TERJUAL])</f>
        <v>0</v>
      </c>
      <c r="K15" s="143">
        <f>Table24232567891011121314[HARGA JUAL]*Table24232567891011121314[SISA]</f>
        <v>0</v>
      </c>
      <c r="L15" s="144">
        <f>Table24232567891011121314[HARGA POKOK]*Table24232567891011121314[STOK]</f>
        <v>0</v>
      </c>
      <c r="M15" s="144">
        <f>Table24232567891011121314[HARGA JUAL]*Table24232567891011121314[STOK]</f>
        <v>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9</v>
      </c>
      <c r="G16" s="142">
        <v>5</v>
      </c>
      <c r="H16" s="141">
        <f>(Table24232567891011121314[STOK])-(Table24232567891011121314[TERJUAL])</f>
        <v>4</v>
      </c>
      <c r="I16" s="143">
        <f>(Table24232567891011121314[HARGA JUAL]*Table24232567891011121314[TERJUAL])-(Table24232567891011121314[HARGA POKOK]*Table24232567891011121314[TERJUAL])</f>
        <v>137500</v>
      </c>
      <c r="J16" s="143">
        <f>(Table24232567891011121314[HARGA JUAL]*Table24232567891011121314[TERJUAL])</f>
        <v>500000</v>
      </c>
      <c r="K16" s="143">
        <f>Table24232567891011121314[HARGA JUAL]*Table24232567891011121314[SISA]</f>
        <v>400000</v>
      </c>
      <c r="L16" s="144">
        <f>Table24232567891011121314[HARGA POKOK]*Table24232567891011121314[STOK]</f>
        <v>652500</v>
      </c>
      <c r="M16" s="144">
        <f>Table24232567891011121314[HARGA JUAL]*Table24232567891011121314[STOK]</f>
        <v>900000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53</v>
      </c>
      <c r="G17" s="142">
        <v>1</v>
      </c>
      <c r="H17" s="141">
        <f>(Table24232567891011121314[STOK])-(Table24232567891011121314[TERJUAL])</f>
        <v>52</v>
      </c>
      <c r="I17" s="143">
        <f>(Table24232567891011121314[HARGA JUAL]*Table24232567891011121314[TERJUAL])-(Table24232567891011121314[HARGA POKOK]*Table24232567891011121314[TERJUAL])</f>
        <v>19000</v>
      </c>
      <c r="J17" s="143">
        <f>(Table24232567891011121314[HARGA JUAL]*Table24232567891011121314[TERJUAL])</f>
        <v>85000</v>
      </c>
      <c r="K17" s="143">
        <f>Table24232567891011121314[HARGA JUAL]*Table24232567891011121314[SISA]</f>
        <v>4420000</v>
      </c>
      <c r="L17" s="144">
        <f>Table24232567891011121314[HARGA POKOK]*Table24232567891011121314[STOK]</f>
        <v>3498000</v>
      </c>
      <c r="M17" s="144">
        <f>Table24232567891011121314[HARGA JUAL]*Table24232567891011121314[STOK]</f>
        <v>4505000</v>
      </c>
      <c r="N17" s="145"/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563</v>
      </c>
      <c r="G18" s="142">
        <v>5</v>
      </c>
      <c r="H18" s="141">
        <f>(Table24232567891011121314[STOK])-(Table24232567891011121314[TERJUAL])</f>
        <v>558</v>
      </c>
      <c r="I18" s="143">
        <f>(Table24232567891011121314[HARGA JUAL]*Table24232567891011121314[TERJUAL])-(Table24232567891011121314[HARGA POKOK]*Table24232567891011121314[TERJUAL])</f>
        <v>12500</v>
      </c>
      <c r="J18" s="143">
        <f>(Table24232567891011121314[HARGA JUAL]*Table24232567891011121314[TERJUAL])</f>
        <v>125000</v>
      </c>
      <c r="K18" s="143">
        <f>Table24232567891011121314[HARGA JUAL]*Table24232567891011121314[SISA]</f>
        <v>13950000</v>
      </c>
      <c r="L18" s="144">
        <f>Table24232567891011121314[HARGA POKOK]*Table24232567891011121314[STOK]</f>
        <v>12667500</v>
      </c>
      <c r="M18" s="144">
        <f>Table24232567891011121314[HARGA JUAL]*Table24232567891011121314[STOK]</f>
        <v>14075000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35</v>
      </c>
      <c r="G19" s="142">
        <v>5</v>
      </c>
      <c r="H19" s="141">
        <f>(Table24232567891011121314[STOK])-(Table24232567891011121314[TERJUAL])</f>
        <v>30</v>
      </c>
      <c r="I19" s="143">
        <f>(Table24232567891011121314[HARGA JUAL]*Table24232567891011121314[TERJUAL])-(Table24232567891011121314[HARGA POKOK]*Table24232567891011121314[TERJUAL])</f>
        <v>120000</v>
      </c>
      <c r="J19" s="143">
        <f>(Table24232567891011121314[HARGA JUAL]*Table24232567891011121314[TERJUAL])</f>
        <v>400000</v>
      </c>
      <c r="K19" s="143">
        <f>Table24232567891011121314[HARGA JUAL]*Table24232567891011121314[SISA]</f>
        <v>2400000</v>
      </c>
      <c r="L19" s="144">
        <f>Table24232567891011121314[HARGA POKOK]*Table24232567891011121314[STOK]</f>
        <v>1960000</v>
      </c>
      <c r="M19" s="144">
        <f>Table24232567891011121314[HARGA JUAL]*Table24232567891011121314[STOK]</f>
        <v>2800000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11</v>
      </c>
      <c r="G20" s="142">
        <v>3</v>
      </c>
      <c r="H20" s="141">
        <f>(Table24232567891011121314[STOK])-(Table24232567891011121314[TERJUAL])</f>
        <v>8</v>
      </c>
      <c r="I20" s="143">
        <f>(Table24232567891011121314[HARGA JUAL]*Table24232567891011121314[TERJUAL])-(Table24232567891011121314[HARGA POKOK]*Table24232567891011121314[TERJUAL])</f>
        <v>60000</v>
      </c>
      <c r="J20" s="143">
        <f>(Table24232567891011121314[HARGA JUAL]*Table24232567891011121314[TERJUAL])</f>
        <v>180000</v>
      </c>
      <c r="K20" s="143">
        <f>Table24232567891011121314[HARGA JUAL]*Table24232567891011121314[SISA]</f>
        <v>480000</v>
      </c>
      <c r="L20" s="144">
        <f>Table24232567891011121314[HARGA POKOK]*Table24232567891011121314[STOK]</f>
        <v>440000</v>
      </c>
      <c r="M20" s="144">
        <f>Table24232567891011121314[HARGA JUAL]*Table24232567891011121314[STOK]</f>
        <v>660000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83</v>
      </c>
      <c r="G21" s="142">
        <v>3</v>
      </c>
      <c r="H21" s="141">
        <f>(Table24232567891011121314[STOK])-(Table24232567891011121314[TERJUAL])</f>
        <v>80</v>
      </c>
      <c r="I21" s="143">
        <f>(Table24232567891011121314[HARGA JUAL]*Table24232567891011121314[TERJUAL])-(Table24232567891011121314[HARGA POKOK]*Table24232567891011121314[TERJUAL])</f>
        <v>34500</v>
      </c>
      <c r="J21" s="143">
        <f>(Table24232567891011121314[HARGA JUAL]*Table24232567891011121314[TERJUAL])</f>
        <v>66000</v>
      </c>
      <c r="K21" s="143">
        <f>Table24232567891011121314[HARGA JUAL]*Table24232567891011121314[SISA]</f>
        <v>1760000</v>
      </c>
      <c r="L21" s="144">
        <f>Table24232567891011121314[HARGA POKOK]*Table24232567891011121314[STOK]</f>
        <v>871500</v>
      </c>
      <c r="M21" s="144">
        <f>Table24232567891011121314[HARGA JUAL]*Table24232567891011121314[STOK]</f>
        <v>1826000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57</v>
      </c>
      <c r="G22" s="142">
        <v>1</v>
      </c>
      <c r="H22" s="141">
        <f>(Table24232567891011121314[STOK])-(Table24232567891011121314[TERJUAL])</f>
        <v>56</v>
      </c>
      <c r="I22" s="143">
        <f>(Table24232567891011121314[HARGA JUAL]*Table24232567891011121314[TERJUAL])-(Table24232567891011121314[HARGA POKOK]*Table24232567891011121314[TERJUAL])</f>
        <v>20000</v>
      </c>
      <c r="J22" s="143">
        <f>(Table24232567891011121314[HARGA JUAL]*Table24232567891011121314[TERJUAL])</f>
        <v>80000</v>
      </c>
      <c r="K22" s="143">
        <f>Table24232567891011121314[HARGA JUAL]*Table24232567891011121314[SISA]</f>
        <v>4480000</v>
      </c>
      <c r="L22" s="144">
        <f>Table24232567891011121314[HARGA POKOK]*Table24232567891011121314[STOK]</f>
        <v>3420000</v>
      </c>
      <c r="M22" s="144">
        <f>Table24232567891011121314[HARGA JUAL]*Table24232567891011121314[STOK]</f>
        <v>4560000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83</v>
      </c>
      <c r="G23" s="142">
        <v>5</v>
      </c>
      <c r="H23" s="141">
        <f>(Table24232567891011121314[STOK])-(Table24232567891011121314[TERJUAL])</f>
        <v>78</v>
      </c>
      <c r="I23" s="143">
        <f>(Table24232567891011121314[HARGA JUAL]*Table24232567891011121314[TERJUAL])-(Table24232567891011121314[HARGA POKOK]*Table24232567891011121314[TERJUAL])</f>
        <v>52500</v>
      </c>
      <c r="J23" s="143">
        <f>(Table24232567891011121314[HARGA JUAL]*Table24232567891011121314[TERJUAL])</f>
        <v>125000</v>
      </c>
      <c r="K23" s="143">
        <f>Table24232567891011121314[HARGA JUAL]*Table24232567891011121314[SISA]</f>
        <v>1950000</v>
      </c>
      <c r="L23" s="144">
        <f>Table24232567891011121314[HARGA POKOK]*Table24232567891011121314[STOK]</f>
        <v>1203500</v>
      </c>
      <c r="M23" s="144">
        <f>Table24232567891011121314[HARGA JUAL]*Table24232567891011121314[STOK]</f>
        <v>2075000</v>
      </c>
      <c r="N23" s="145"/>
    </row>
    <row r="24" spans="1:14" x14ac:dyDescent="0.25">
      <c r="A24" s="137">
        <v>20</v>
      </c>
      <c r="B24" s="138" t="s">
        <v>28</v>
      </c>
      <c r="C24" s="138" t="s">
        <v>52</v>
      </c>
      <c r="D24" s="140">
        <v>30000</v>
      </c>
      <c r="E24" s="140">
        <v>25000</v>
      </c>
      <c r="F24" s="141">
        <v>81</v>
      </c>
      <c r="G24" s="142">
        <v>8</v>
      </c>
      <c r="H24" s="141">
        <f>(Table24232567891011121314[STOK])-(Table24232567891011121314[TERJUAL])</f>
        <v>73</v>
      </c>
      <c r="I24" s="143">
        <f>(Table24232567891011121314[HARGA JUAL]*Table24232567891011121314[TERJUAL])-(Table24232567891011121314[HARGA POKOK]*Table24232567891011121314[TERJUAL])</f>
        <v>-40000</v>
      </c>
      <c r="J24" s="143">
        <f>(Table24232567891011121314[HARGA JUAL]*Table24232567891011121314[TERJUAL])</f>
        <v>200000</v>
      </c>
      <c r="K24" s="143">
        <f>Table24232567891011121314[HARGA JUAL]*Table24232567891011121314[SISA]</f>
        <v>1825000</v>
      </c>
      <c r="L24" s="144">
        <f>Table24232567891011121314[HARGA POKOK]*Table24232567891011121314[STOK]</f>
        <v>2430000</v>
      </c>
      <c r="M24" s="144">
        <f>Table24232567891011121314[HARGA JUAL]*Table24232567891011121314[STOK]</f>
        <v>2025000</v>
      </c>
      <c r="N24" s="145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3000</v>
      </c>
      <c r="E25" s="140">
        <v>5000</v>
      </c>
      <c r="F25" s="141">
        <v>0</v>
      </c>
      <c r="G25" s="142"/>
      <c r="H25" s="141">
        <f>(Table24232567891011121314[STOK])-(Table24232567891011121314[TERJUAL])</f>
        <v>0</v>
      </c>
      <c r="I25" s="143">
        <f>(Table24232567891011121314[HARGA JUAL]*Table24232567891011121314[TERJUAL])-(Table24232567891011121314[HARGA POKOK]*Table24232567891011121314[TERJUAL])</f>
        <v>0</v>
      </c>
      <c r="J25" s="143">
        <f>(Table24232567891011121314[HARGA JUAL]*Table24232567891011121314[TERJUAL])</f>
        <v>0</v>
      </c>
      <c r="K25" s="143">
        <f>Table24232567891011121314[HARGA JUAL]*Table24232567891011121314[SISA]</f>
        <v>0</v>
      </c>
      <c r="L25" s="144">
        <f>Table24232567891011121314[HARGA POKOK]*Table24232567891011121314[STOK]</f>
        <v>0</v>
      </c>
      <c r="M25" s="144">
        <f>Table24232567891011121314[HARGA JUAL]*Table24232567891011121314[STOK]</f>
        <v>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88</v>
      </c>
      <c r="G26" s="142">
        <v>1</v>
      </c>
      <c r="H26" s="141">
        <f>(Table24232567891011121314[STOK])-(Table24232567891011121314[TERJUAL])</f>
        <v>87</v>
      </c>
      <c r="I26" s="143">
        <f>(Table24232567891011121314[HARGA JUAL]*Table24232567891011121314[TERJUAL])-(Table24232567891011121314[HARGA POKOK]*Table24232567891011121314[TERJUAL])</f>
        <v>12500</v>
      </c>
      <c r="J26" s="143">
        <f>(Table24232567891011121314[HARGA JUAL]*Table24232567891011121314[TERJUAL])</f>
        <v>60000</v>
      </c>
      <c r="K26" s="143">
        <f>Table24232567891011121314[HARGA JUAL]*Table24232567891011121314[SISA]</f>
        <v>5220000</v>
      </c>
      <c r="L26" s="144">
        <f>Table24232567891011121314[HARGA POKOK]*Table24232567891011121314[STOK]</f>
        <v>4180000</v>
      </c>
      <c r="M26" s="144">
        <f>Table24232567891011121314[HARGA JUAL]*Table24232567891011121314[STOK]</f>
        <v>5280000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5</v>
      </c>
      <c r="G27" s="142"/>
      <c r="H27" s="141">
        <f>(Table24232567891011121314[STOK])-(Table24232567891011121314[TERJUAL])</f>
        <v>5</v>
      </c>
      <c r="I27" s="143">
        <f>(Table24232567891011121314[HARGA JUAL]*Table24232567891011121314[TERJUAL])-(Table24232567891011121314[HARGA POKOK]*Table24232567891011121314[TERJUAL])</f>
        <v>0</v>
      </c>
      <c r="J27" s="143">
        <f>(Table24232567891011121314[HARGA JUAL]*Table24232567891011121314[TERJUAL])</f>
        <v>0</v>
      </c>
      <c r="K27" s="143">
        <f>Table24232567891011121314[HARGA JUAL]*Table24232567891011121314[SISA]</f>
        <v>715000</v>
      </c>
      <c r="L27" s="144">
        <f>Table24232567891011121314[HARGA POKOK]*Table24232567891011121314[STOK]</f>
        <v>572500</v>
      </c>
      <c r="M27" s="144">
        <f>Table24232567891011121314[HARGA JUAL]*Table24232567891011121314[STOK]</f>
        <v>715000</v>
      </c>
      <c r="N27" s="145"/>
    </row>
    <row r="28" spans="1:14" x14ac:dyDescent="0.25">
      <c r="A28" s="137">
        <v>24</v>
      </c>
      <c r="B28" s="138" t="s">
        <v>29</v>
      </c>
      <c r="C28" s="138" t="s">
        <v>56</v>
      </c>
      <c r="D28" s="140">
        <v>82500</v>
      </c>
      <c r="E28" s="140">
        <v>120000</v>
      </c>
      <c r="F28" s="141">
        <v>0</v>
      </c>
      <c r="G28" s="142"/>
      <c r="H28" s="141">
        <f>(Table24232567891011121314[STOK])-(Table24232567891011121314[TERJUAL])</f>
        <v>0</v>
      </c>
      <c r="I28" s="143">
        <f>(Table24232567891011121314[HARGA JUAL]*Table24232567891011121314[TERJUAL])-(Table24232567891011121314[HARGA POKOK]*Table24232567891011121314[TERJUAL])</f>
        <v>0</v>
      </c>
      <c r="J28" s="143">
        <f>(Table24232567891011121314[HARGA JUAL]*Table24232567891011121314[TERJUAL])</f>
        <v>0</v>
      </c>
      <c r="K28" s="143">
        <f>Table24232567891011121314[HARGA JUAL]*Table24232567891011121314[SISA]</f>
        <v>0</v>
      </c>
      <c r="L28" s="144">
        <f>Table24232567891011121314[HARGA POKOK]*Table24232567891011121314[STOK]</f>
        <v>0</v>
      </c>
      <c r="M28" s="144">
        <f>Table24232567891011121314[HARGA JUAL]*Table24232567891011121314[STOK]</f>
        <v>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(Table24232567891011121314[STOK])-(Table24232567891011121314[TERJUAL])</f>
        <v>0</v>
      </c>
      <c r="I29" s="143">
        <f>(Table24232567891011121314[HARGA JUAL]*Table24232567891011121314[TERJUAL])-(Table24232567891011121314[HARGA POKOK]*Table24232567891011121314[TERJUAL])</f>
        <v>0</v>
      </c>
      <c r="J29" s="143">
        <f>(Table24232567891011121314[HARGA JUAL]*Table24232567891011121314[TERJUAL])</f>
        <v>0</v>
      </c>
      <c r="K29" s="143">
        <f>Table24232567891011121314[HARGA JUAL]*Table24232567891011121314[SISA]</f>
        <v>0</v>
      </c>
      <c r="L29" s="144">
        <f>Table24232567891011121314[HARGA POKOK]*Table24232567891011121314[STOK]</f>
        <v>0</v>
      </c>
      <c r="M29" s="144">
        <f>Table24232567891011121314[HARGA JUAL]*Table24232567891011121314[STOK]</f>
        <v>0</v>
      </c>
      <c r="N29" s="145"/>
    </row>
    <row r="30" spans="1:14" x14ac:dyDescent="0.25">
      <c r="A30" s="137">
        <v>26</v>
      </c>
      <c r="B30" s="138" t="s">
        <v>30</v>
      </c>
      <c r="C30" s="138" t="s">
        <v>58</v>
      </c>
      <c r="D30" s="140">
        <v>10000</v>
      </c>
      <c r="E30" s="140">
        <v>18000</v>
      </c>
      <c r="F30" s="141"/>
      <c r="G30" s="142"/>
      <c r="H30" s="141">
        <f>(Table24232567891011121314[STOK])-(Table24232567891011121314[TERJUAL])</f>
        <v>0</v>
      </c>
      <c r="I30" s="143">
        <f>(Table24232567891011121314[HARGA JUAL]*Table24232567891011121314[TERJUAL])-(Table24232567891011121314[HARGA POKOK]*Table24232567891011121314[TERJUAL])</f>
        <v>0</v>
      </c>
      <c r="J30" s="143">
        <f>(Table24232567891011121314[HARGA JUAL]*Table24232567891011121314[TERJUAL])</f>
        <v>0</v>
      </c>
      <c r="K30" s="143">
        <f>Table24232567891011121314[HARGA JUAL]*Table24232567891011121314[SISA]</f>
        <v>0</v>
      </c>
      <c r="L30" s="144">
        <f>Table24232567891011121314[HARGA POKOK]*Table24232567891011121314[STOK]</f>
        <v>0</v>
      </c>
      <c r="M30" s="144">
        <f>Table24232567891011121314[HARGA JUAL]*Table24232567891011121314[STOK]</f>
        <v>0</v>
      </c>
      <c r="N30" s="145"/>
    </row>
    <row r="31" spans="1:14" x14ac:dyDescent="0.25">
      <c r="A31" s="137">
        <v>27</v>
      </c>
      <c r="B31" s="138" t="s">
        <v>30</v>
      </c>
      <c r="C31" s="138" t="s">
        <v>59</v>
      </c>
      <c r="D31" s="140">
        <v>27500</v>
      </c>
      <c r="E31" s="140">
        <v>45000</v>
      </c>
      <c r="F31" s="141">
        <v>17</v>
      </c>
      <c r="G31" s="142">
        <v>1</v>
      </c>
      <c r="H31" s="141">
        <f>(Table24232567891011121314[STOK])-(Table24232567891011121314[TERJUAL])</f>
        <v>16</v>
      </c>
      <c r="I31" s="143">
        <f>(Table24232567891011121314[HARGA JUAL]*Table24232567891011121314[TERJUAL])-(Table24232567891011121314[HARGA POKOK]*Table24232567891011121314[TERJUAL])</f>
        <v>17500</v>
      </c>
      <c r="J31" s="143">
        <f>(Table24232567891011121314[HARGA JUAL]*Table24232567891011121314[TERJUAL])</f>
        <v>45000</v>
      </c>
      <c r="K31" s="143">
        <f>Table24232567891011121314[HARGA JUAL]*Table24232567891011121314[SISA]</f>
        <v>720000</v>
      </c>
      <c r="L31" s="144">
        <f>Table24232567891011121314[HARGA POKOK]*Table24232567891011121314[STOK]</f>
        <v>467500</v>
      </c>
      <c r="M31" s="144">
        <f>Table24232567891011121314[HARGA JUAL]*Table24232567891011121314[STOK]</f>
        <v>765000</v>
      </c>
      <c r="N31" s="145"/>
    </row>
    <row r="32" spans="1:14" x14ac:dyDescent="0.25">
      <c r="A32" s="137">
        <v>28</v>
      </c>
      <c r="B32" s="138" t="s">
        <v>30</v>
      </c>
      <c r="C32" s="138" t="s">
        <v>60</v>
      </c>
      <c r="D32" s="140">
        <v>12500</v>
      </c>
      <c r="E32" s="140">
        <v>16000</v>
      </c>
      <c r="F32" s="141">
        <v>287</v>
      </c>
      <c r="G32" s="142">
        <v>79</v>
      </c>
      <c r="H32" s="141">
        <f>(Table24232567891011121314[STOK])-(Table24232567891011121314[TERJUAL])</f>
        <v>208</v>
      </c>
      <c r="I32" s="143">
        <f>(Table24232567891011121314[HARGA JUAL]*Table24232567891011121314[TERJUAL])-(Table24232567891011121314[HARGA POKOK]*Table24232567891011121314[TERJUAL])</f>
        <v>276500</v>
      </c>
      <c r="J32" s="143">
        <f>(Table24232567891011121314[HARGA JUAL]*Table24232567891011121314[TERJUAL])</f>
        <v>1264000</v>
      </c>
      <c r="K32" s="143">
        <f>Table24232567891011121314[HARGA JUAL]*Table24232567891011121314[SISA]</f>
        <v>3328000</v>
      </c>
      <c r="L32" s="144">
        <f>Table24232567891011121314[HARGA POKOK]*Table24232567891011121314[STOK]</f>
        <v>3587500</v>
      </c>
      <c r="M32" s="144">
        <f>Table24232567891011121314[HARGA JUAL]*Table24232567891011121314[STOK]</f>
        <v>4592000</v>
      </c>
      <c r="N32" s="145"/>
    </row>
    <row r="33" spans="1:14" x14ac:dyDescent="0.25">
      <c r="A33" s="137">
        <v>29</v>
      </c>
      <c r="B33" s="138" t="s">
        <v>30</v>
      </c>
      <c r="C33" s="138" t="s">
        <v>13</v>
      </c>
      <c r="D33" s="140">
        <v>33500</v>
      </c>
      <c r="E33" s="140">
        <v>50000</v>
      </c>
      <c r="F33" s="141">
        <v>0</v>
      </c>
      <c r="G33" s="142"/>
      <c r="H33" s="141">
        <f>(Table24232567891011121314[STOK])-(Table24232567891011121314[TERJUAL])</f>
        <v>0</v>
      </c>
      <c r="I33" s="143">
        <f>(Table24232567891011121314[HARGA JUAL]*Table24232567891011121314[TERJUAL])-(Table24232567891011121314[HARGA POKOK]*Table24232567891011121314[TERJUAL])</f>
        <v>0</v>
      </c>
      <c r="J33" s="143">
        <f>(Table24232567891011121314[HARGA JUAL]*Table24232567891011121314[TERJUAL])</f>
        <v>0</v>
      </c>
      <c r="K33" s="143">
        <f>Table24232567891011121314[HARGA JUAL]*Table24232567891011121314[SISA]</f>
        <v>0</v>
      </c>
      <c r="L33" s="144">
        <f>Table24232567891011121314[HARGA POKOK]*Table24232567891011121314[STOK]</f>
        <v>0</v>
      </c>
      <c r="M33" s="144">
        <f>Table24232567891011121314[HARGA JUAL]*Table24232567891011121314[STOK]</f>
        <v>0</v>
      </c>
      <c r="N33" s="145"/>
    </row>
    <row r="34" spans="1:14" x14ac:dyDescent="0.25">
      <c r="A34" s="137">
        <v>30</v>
      </c>
      <c r="B34" s="138" t="s">
        <v>30</v>
      </c>
      <c r="C34" s="193" t="s">
        <v>14</v>
      </c>
      <c r="D34" s="140">
        <v>8500</v>
      </c>
      <c r="E34" s="140">
        <v>12000</v>
      </c>
      <c r="F34" s="141">
        <v>161</v>
      </c>
      <c r="G34" s="142">
        <v>8</v>
      </c>
      <c r="H34" s="141">
        <f>(Table24232567891011121314[STOK])-(Table24232567891011121314[TERJUAL])</f>
        <v>153</v>
      </c>
      <c r="I34" s="143">
        <f>(Table24232567891011121314[HARGA JUAL]*Table24232567891011121314[TERJUAL])-(Table24232567891011121314[HARGA POKOK]*Table24232567891011121314[TERJUAL])</f>
        <v>28000</v>
      </c>
      <c r="J34" s="143">
        <f>(Table24232567891011121314[HARGA JUAL]*Table24232567891011121314[TERJUAL])</f>
        <v>96000</v>
      </c>
      <c r="K34" s="143">
        <f>Table24232567891011121314[HARGA JUAL]*Table24232567891011121314[SISA]</f>
        <v>1836000</v>
      </c>
      <c r="L34" s="144">
        <f>Table24232567891011121314[HARGA POKOK]*Table24232567891011121314[STOK]</f>
        <v>1368500</v>
      </c>
      <c r="M34" s="144">
        <f>Table24232567891011121314[HARGA JUAL]*Table24232567891011121314[STOK]</f>
        <v>1932000</v>
      </c>
      <c r="N34" s="145"/>
    </row>
    <row r="35" spans="1:14" x14ac:dyDescent="0.25">
      <c r="A35" s="137">
        <v>31</v>
      </c>
      <c r="B35" s="138" t="s">
        <v>30</v>
      </c>
      <c r="C35" s="138" t="s">
        <v>15</v>
      </c>
      <c r="D35" s="140">
        <v>30500</v>
      </c>
      <c r="E35" s="140">
        <v>45000</v>
      </c>
      <c r="F35" s="141">
        <v>10</v>
      </c>
      <c r="G35" s="142">
        <v>1</v>
      </c>
      <c r="H35" s="141">
        <f>(Table24232567891011121314[STOK])-(Table24232567891011121314[TERJUAL])</f>
        <v>9</v>
      </c>
      <c r="I35" s="143">
        <f>(Table24232567891011121314[HARGA JUAL]*Table24232567891011121314[TERJUAL])-(Table24232567891011121314[HARGA POKOK]*Table24232567891011121314[TERJUAL])</f>
        <v>14500</v>
      </c>
      <c r="J35" s="143">
        <f>(Table24232567891011121314[HARGA JUAL]*Table24232567891011121314[TERJUAL])</f>
        <v>45000</v>
      </c>
      <c r="K35" s="143">
        <f>Table24232567891011121314[HARGA JUAL]*Table24232567891011121314[SISA]</f>
        <v>405000</v>
      </c>
      <c r="L35" s="144">
        <f>Table24232567891011121314[HARGA POKOK]*Table24232567891011121314[STOK]</f>
        <v>305000</v>
      </c>
      <c r="M35" s="144">
        <f>Table24232567891011121314[HARGA JUAL]*Table24232567891011121314[STOK]</f>
        <v>450000</v>
      </c>
      <c r="N35" s="145"/>
    </row>
    <row r="36" spans="1:14" x14ac:dyDescent="0.25">
      <c r="A36" s="137">
        <v>32</v>
      </c>
      <c r="B36" s="138" t="s">
        <v>30</v>
      </c>
      <c r="C36" s="138" t="s">
        <v>16</v>
      </c>
      <c r="D36" s="140">
        <v>7500</v>
      </c>
      <c r="E36" s="140">
        <v>10000</v>
      </c>
      <c r="F36" s="141">
        <v>146</v>
      </c>
      <c r="G36" s="142">
        <v>11</v>
      </c>
      <c r="H36" s="141">
        <f>(Table24232567891011121314[STOK])-(Table24232567891011121314[TERJUAL])</f>
        <v>135</v>
      </c>
      <c r="I36" s="143">
        <f>(Table24232567891011121314[HARGA JUAL]*Table24232567891011121314[TERJUAL])-(Table24232567891011121314[HARGA POKOK]*Table24232567891011121314[TERJUAL])</f>
        <v>27500</v>
      </c>
      <c r="J36" s="143">
        <f>(Table24232567891011121314[HARGA JUAL]*Table24232567891011121314[TERJUAL])</f>
        <v>110000</v>
      </c>
      <c r="K36" s="143">
        <f>Table24232567891011121314[HARGA JUAL]*Table24232567891011121314[SISA]</f>
        <v>1350000</v>
      </c>
      <c r="L36" s="144">
        <f>Table24232567891011121314[HARGA POKOK]*Table24232567891011121314[STOK]</f>
        <v>1095000</v>
      </c>
      <c r="M36" s="144">
        <f>Table24232567891011121314[HARGA JUAL]*Table24232567891011121314[STOK]</f>
        <v>1460000</v>
      </c>
      <c r="N36" s="145"/>
    </row>
    <row r="37" spans="1:14" x14ac:dyDescent="0.25">
      <c r="A37" s="137">
        <v>33</v>
      </c>
      <c r="B37" s="138" t="s">
        <v>35</v>
      </c>
      <c r="C37" s="138" t="s">
        <v>36</v>
      </c>
      <c r="D37" s="140">
        <v>51500</v>
      </c>
      <c r="E37" s="140">
        <v>65000</v>
      </c>
      <c r="F37" s="141">
        <v>31</v>
      </c>
      <c r="G37" s="142">
        <v>6</v>
      </c>
      <c r="H37" s="141">
        <f>(Table24232567891011121314[STOK])-(Table24232567891011121314[TERJUAL])</f>
        <v>25</v>
      </c>
      <c r="I37" s="143">
        <f>(Table24232567891011121314[HARGA JUAL]*Table24232567891011121314[TERJUAL])-(Table24232567891011121314[HARGA POKOK]*Table24232567891011121314[TERJUAL])</f>
        <v>81000</v>
      </c>
      <c r="J37" s="143">
        <f>(Table24232567891011121314[HARGA JUAL]*Table24232567891011121314[TERJUAL])</f>
        <v>390000</v>
      </c>
      <c r="K37" s="143">
        <f>Table24232567891011121314[HARGA JUAL]*Table24232567891011121314[SISA]</f>
        <v>1625000</v>
      </c>
      <c r="L37" s="144">
        <f>Table24232567891011121314[HARGA POKOK]*Table24232567891011121314[STOK]</f>
        <v>1596500</v>
      </c>
      <c r="M37" s="144">
        <f>Table24232567891011121314[HARGA JUAL]*Table24232567891011121314[STOK]</f>
        <v>2015000</v>
      </c>
      <c r="N37" s="145"/>
    </row>
    <row r="38" spans="1:14" x14ac:dyDescent="0.25">
      <c r="A38" s="137">
        <v>34</v>
      </c>
      <c r="B38" s="138" t="s">
        <v>35</v>
      </c>
      <c r="C38" s="138" t="s">
        <v>175</v>
      </c>
      <c r="D38" s="140">
        <v>27500</v>
      </c>
      <c r="E38" s="140">
        <v>40000</v>
      </c>
      <c r="F38" s="141">
        <v>78</v>
      </c>
      <c r="G38" s="142">
        <v>2</v>
      </c>
      <c r="H38" s="141">
        <f>(Table24232567891011121314[STOK])-(Table24232567891011121314[TERJUAL])</f>
        <v>76</v>
      </c>
      <c r="I38" s="143">
        <f>(Table24232567891011121314[HARGA JUAL]*Table24232567891011121314[TERJUAL])-(Table24232567891011121314[HARGA POKOK]*Table24232567891011121314[TERJUAL])</f>
        <v>25000</v>
      </c>
      <c r="J38" s="143">
        <f>(Table24232567891011121314[HARGA JUAL]*Table24232567891011121314[TERJUAL])</f>
        <v>80000</v>
      </c>
      <c r="K38" s="143">
        <f>Table24232567891011121314[HARGA JUAL]*Table24232567891011121314[SISA]</f>
        <v>3040000</v>
      </c>
      <c r="L38" s="144">
        <f>Table24232567891011121314[HARGA POKOK]*Table24232567891011121314[STOK]</f>
        <v>2145000</v>
      </c>
      <c r="M38" s="144">
        <f>Table24232567891011121314[HARGA JUAL]*Table24232567891011121314[STOK]</f>
        <v>3120000</v>
      </c>
      <c r="N38" s="145"/>
    </row>
    <row r="39" spans="1:14" x14ac:dyDescent="0.25">
      <c r="A39" s="137">
        <v>35</v>
      </c>
      <c r="B39" s="138" t="s">
        <v>31</v>
      </c>
      <c r="C39" s="138" t="s">
        <v>180</v>
      </c>
      <c r="D39" s="140">
        <v>21500</v>
      </c>
      <c r="E39" s="140">
        <v>40000</v>
      </c>
      <c r="F39" s="141">
        <v>101</v>
      </c>
      <c r="G39" s="142">
        <v>8</v>
      </c>
      <c r="H39" s="141">
        <f>(Table24232567891011121314[STOK])-(Table24232567891011121314[TERJUAL])</f>
        <v>93</v>
      </c>
      <c r="I39" s="143">
        <f>(Table24232567891011121314[HARGA JUAL]*Table24232567891011121314[TERJUAL])-(Table24232567891011121314[HARGA POKOK]*Table24232567891011121314[TERJUAL])</f>
        <v>148000</v>
      </c>
      <c r="J39" s="143">
        <f>(Table24232567891011121314[HARGA JUAL]*Table24232567891011121314[TERJUAL])</f>
        <v>320000</v>
      </c>
      <c r="K39" s="143">
        <f>Table24232567891011121314[HARGA JUAL]*Table24232567891011121314[SISA]</f>
        <v>3720000</v>
      </c>
      <c r="L39" s="144">
        <f>Table24232567891011121314[HARGA POKOK]*Table24232567891011121314[STOK]</f>
        <v>2171500</v>
      </c>
      <c r="M39" s="144">
        <f>Table24232567891011121314[HARGA JUAL]*Table24232567891011121314[STOK]</f>
        <v>4040000</v>
      </c>
      <c r="N39" s="145"/>
    </row>
    <row r="40" spans="1:14" x14ac:dyDescent="0.25">
      <c r="A40" s="137">
        <v>36</v>
      </c>
      <c r="B40" s="138" t="s">
        <v>31</v>
      </c>
      <c r="C40" s="138" t="s">
        <v>62</v>
      </c>
      <c r="D40" s="140">
        <v>25000</v>
      </c>
      <c r="E40" s="140">
        <v>15000</v>
      </c>
      <c r="F40" s="141">
        <v>2</v>
      </c>
      <c r="G40" s="142">
        <v>2</v>
      </c>
      <c r="H40" s="141">
        <f>(Table24232567891011121314[STOK])-(Table24232567891011121314[TERJUAL])</f>
        <v>0</v>
      </c>
      <c r="I40" s="143">
        <f>(Table24232567891011121314[HARGA JUAL]*Table24232567891011121314[TERJUAL])-(Table24232567891011121314[HARGA POKOK]*Table24232567891011121314[TERJUAL])</f>
        <v>-20000</v>
      </c>
      <c r="J40" s="143">
        <f>(Table24232567891011121314[HARGA JUAL]*Table24232567891011121314[TERJUAL])</f>
        <v>30000</v>
      </c>
      <c r="K40" s="143">
        <f>Table24232567891011121314[HARGA JUAL]*Table24232567891011121314[SISA]</f>
        <v>0</v>
      </c>
      <c r="L40" s="144">
        <f>Table24232567891011121314[HARGA POKOK]*Table24232567891011121314[STOK]</f>
        <v>50000</v>
      </c>
      <c r="M40" s="144">
        <f>Table24232567891011121314[HARGA JUAL]*Table24232567891011121314[STOK]</f>
        <v>30000</v>
      </c>
      <c r="N40" s="145"/>
    </row>
    <row r="41" spans="1:14" x14ac:dyDescent="0.25">
      <c r="A41" s="137">
        <v>37</v>
      </c>
      <c r="B41" s="138" t="s">
        <v>31</v>
      </c>
      <c r="C41" s="138" t="s">
        <v>181</v>
      </c>
      <c r="D41" s="140">
        <v>34500</v>
      </c>
      <c r="E41" s="140">
        <v>40000</v>
      </c>
      <c r="F41" s="141">
        <v>116</v>
      </c>
      <c r="G41" s="142"/>
      <c r="H41" s="141">
        <f>(Table24232567891011121314[STOK])-(Table24232567891011121314[TERJUAL])</f>
        <v>116</v>
      </c>
      <c r="I41" s="143">
        <f>(Table24232567891011121314[HARGA JUAL]*Table24232567891011121314[TERJUAL])-(Table24232567891011121314[HARGA POKOK]*Table24232567891011121314[TERJUAL])</f>
        <v>0</v>
      </c>
      <c r="J41" s="143">
        <f>(Table24232567891011121314[HARGA JUAL]*Table24232567891011121314[TERJUAL])</f>
        <v>0</v>
      </c>
      <c r="K41" s="143">
        <f>Table24232567891011121314[HARGA JUAL]*Table24232567891011121314[SISA]</f>
        <v>4640000</v>
      </c>
      <c r="L41" s="144">
        <f>Table24232567891011121314[HARGA POKOK]*Table24232567891011121314[STOK]</f>
        <v>4002000</v>
      </c>
      <c r="M41" s="144">
        <f>Table24232567891011121314[HARGA JUAL]*Table24232567891011121314[STOK]</f>
        <v>4640000</v>
      </c>
      <c r="N41" s="145"/>
    </row>
    <row r="42" spans="1:14" x14ac:dyDescent="0.25">
      <c r="A42" s="137">
        <v>38</v>
      </c>
      <c r="B42" s="138" t="s">
        <v>31</v>
      </c>
      <c r="C42" s="138" t="s">
        <v>64</v>
      </c>
      <c r="D42" s="140">
        <v>24000</v>
      </c>
      <c r="E42" s="140">
        <v>40000</v>
      </c>
      <c r="F42" s="141">
        <v>2</v>
      </c>
      <c r="G42" s="142">
        <v>1</v>
      </c>
      <c r="H42" s="141">
        <f>(Table24232567891011121314[STOK])-(Table24232567891011121314[TERJUAL])</f>
        <v>1</v>
      </c>
      <c r="I42" s="143">
        <f>(Table24232567891011121314[HARGA JUAL]*Table24232567891011121314[TERJUAL])-(Table24232567891011121314[HARGA POKOK]*Table24232567891011121314[TERJUAL])</f>
        <v>16000</v>
      </c>
      <c r="J42" s="143">
        <f>(Table24232567891011121314[HARGA JUAL]*Table24232567891011121314[TERJUAL])</f>
        <v>40000</v>
      </c>
      <c r="K42" s="143">
        <f>Table24232567891011121314[HARGA JUAL]*Table24232567891011121314[SISA]</f>
        <v>40000</v>
      </c>
      <c r="L42" s="144">
        <f>Table24232567891011121314[HARGA POKOK]*Table24232567891011121314[STOK]</f>
        <v>48000</v>
      </c>
      <c r="M42" s="144">
        <f>Table24232567891011121314[HARGA JUAL]*Table24232567891011121314[STOK]</f>
        <v>80000</v>
      </c>
      <c r="N42" s="145"/>
    </row>
    <row r="43" spans="1:14" x14ac:dyDescent="0.25">
      <c r="A43" s="137">
        <v>39</v>
      </c>
      <c r="B43" s="138" t="s">
        <v>31</v>
      </c>
      <c r="C43" s="138" t="s">
        <v>138</v>
      </c>
      <c r="D43" s="140">
        <v>34000</v>
      </c>
      <c r="E43" s="140">
        <v>40000</v>
      </c>
      <c r="F43" s="141">
        <v>0</v>
      </c>
      <c r="G43" s="142"/>
      <c r="H43" s="141">
        <f>(Table24232567891011121314[STOK])-(Table24232567891011121314[TERJUAL])</f>
        <v>0</v>
      </c>
      <c r="I43" s="143">
        <f>(Table24232567891011121314[HARGA JUAL]*Table24232567891011121314[TERJUAL])-(Table24232567891011121314[HARGA POKOK]*Table24232567891011121314[TERJUAL])</f>
        <v>0</v>
      </c>
      <c r="J43" s="143">
        <f>(Table24232567891011121314[HARGA JUAL]*Table24232567891011121314[TERJUAL])</f>
        <v>0</v>
      </c>
      <c r="K43" s="143">
        <f>Table24232567891011121314[HARGA JUAL]*Table24232567891011121314[SISA]</f>
        <v>0</v>
      </c>
      <c r="L43" s="144">
        <f>Table24232567891011121314[HARGA POKOK]*Table24232567891011121314[STOK]</f>
        <v>0</v>
      </c>
      <c r="M43" s="144">
        <f>Table24232567891011121314[HARGA JUAL]*Table24232567891011121314[STOK]</f>
        <v>0</v>
      </c>
      <c r="N43" s="145"/>
    </row>
    <row r="44" spans="1:14" x14ac:dyDescent="0.25">
      <c r="A44" s="137"/>
      <c r="B44" s="138" t="s">
        <v>31</v>
      </c>
      <c r="C44" s="138" t="s">
        <v>260</v>
      </c>
      <c r="D44" s="140"/>
      <c r="E44" s="140">
        <v>750000</v>
      </c>
      <c r="F44" s="141">
        <v>0</v>
      </c>
      <c r="G44" s="142"/>
      <c r="H44" s="141">
        <f>(Table24232567891011121314[STOK])-(Table24232567891011121314[TERJUAL])</f>
        <v>0</v>
      </c>
      <c r="I44" s="143">
        <f>(Table24232567891011121314[HARGA JUAL]*Table24232567891011121314[TERJUAL])-(Table24232567891011121314[HARGA POKOK]*Table24232567891011121314[TERJUAL])</f>
        <v>0</v>
      </c>
      <c r="J44" s="143">
        <f>(Table24232567891011121314[HARGA JUAL]*Table24232567891011121314[TERJUAL])</f>
        <v>0</v>
      </c>
      <c r="K44" s="143">
        <f>Table24232567891011121314[HARGA JUAL]*Table24232567891011121314[SISA]</f>
        <v>0</v>
      </c>
      <c r="L44" s="144">
        <f>Table24232567891011121314[HARGA POKOK]*Table24232567891011121314[STOK]</f>
        <v>0</v>
      </c>
      <c r="M44" s="144">
        <f>Table24232567891011121314[HARGA JUAL]*Table24232567891011121314[STOK]</f>
        <v>0</v>
      </c>
      <c r="N44" s="145"/>
    </row>
    <row r="45" spans="1:14" x14ac:dyDescent="0.25">
      <c r="A45" s="137">
        <v>40</v>
      </c>
      <c r="B45" s="138" t="s">
        <v>31</v>
      </c>
      <c r="C45" s="138" t="s">
        <v>261</v>
      </c>
      <c r="D45" s="140">
        <v>30000</v>
      </c>
      <c r="E45" s="140">
        <v>35000</v>
      </c>
      <c r="F45" s="141">
        <v>5</v>
      </c>
      <c r="G45" s="142"/>
      <c r="H45" s="141">
        <f>(Table24232567891011121314[STOK])-(Table24232567891011121314[TERJUAL])</f>
        <v>5</v>
      </c>
      <c r="I45" s="143">
        <f>(Table24232567891011121314[HARGA JUAL]*Table24232567891011121314[TERJUAL])-(Table24232567891011121314[HARGA POKOK]*Table24232567891011121314[TERJUAL])</f>
        <v>0</v>
      </c>
      <c r="J45" s="143">
        <f>(Table24232567891011121314[HARGA JUAL]*Table24232567891011121314[TERJUAL])</f>
        <v>0</v>
      </c>
      <c r="K45" s="143">
        <f>Table24232567891011121314[HARGA JUAL]*Table24232567891011121314[SISA]</f>
        <v>175000</v>
      </c>
      <c r="L45" s="144">
        <f>Table24232567891011121314[HARGA POKOK]*Table24232567891011121314[STOK]</f>
        <v>150000</v>
      </c>
      <c r="M45" s="144">
        <f>Table24232567891011121314[HARGA JUAL]*Table24232567891011121314[STOK]</f>
        <v>175000</v>
      </c>
      <c r="N45" s="145"/>
    </row>
    <row r="46" spans="1:14" x14ac:dyDescent="0.25">
      <c r="A46" s="137">
        <v>41</v>
      </c>
      <c r="B46" s="138" t="s">
        <v>31</v>
      </c>
      <c r="C46" s="138" t="s">
        <v>67</v>
      </c>
      <c r="D46" s="140">
        <v>27500</v>
      </c>
      <c r="E46" s="140">
        <v>40000</v>
      </c>
      <c r="F46" s="141">
        <v>0</v>
      </c>
      <c r="G46" s="142"/>
      <c r="H46" s="141">
        <f>(Table24232567891011121314[STOK])-(Table24232567891011121314[TERJUAL])</f>
        <v>0</v>
      </c>
      <c r="I46" s="143">
        <f>(Table24232567891011121314[HARGA JUAL]*Table24232567891011121314[TERJUAL])-(Table24232567891011121314[HARGA POKOK]*Table24232567891011121314[TERJUAL])</f>
        <v>0</v>
      </c>
      <c r="J46" s="143">
        <f>(Table24232567891011121314[HARGA JUAL]*Table24232567891011121314[TERJUAL])</f>
        <v>0</v>
      </c>
      <c r="K46" s="143">
        <f>Table24232567891011121314[HARGA JUAL]*Table24232567891011121314[SISA]</f>
        <v>0</v>
      </c>
      <c r="L46" s="144">
        <f>Table24232567891011121314[HARGA POKOK]*Table24232567891011121314[STOK]</f>
        <v>0</v>
      </c>
      <c r="M46" s="144">
        <f>Table24232567891011121314[HARGA JUAL]*Table24232567891011121314[STOK]</f>
        <v>0</v>
      </c>
      <c r="N46" s="145"/>
    </row>
    <row r="47" spans="1:14" x14ac:dyDescent="0.25">
      <c r="A47" s="137">
        <v>42</v>
      </c>
      <c r="B47" s="138" t="s">
        <v>31</v>
      </c>
      <c r="C47" s="138" t="s">
        <v>140</v>
      </c>
      <c r="D47" s="140">
        <v>15000</v>
      </c>
      <c r="E47" s="140">
        <v>30000</v>
      </c>
      <c r="F47" s="141">
        <v>0</v>
      </c>
      <c r="G47" s="142"/>
      <c r="H47" s="141">
        <f>(Table24232567891011121314[STOK])-(Table24232567891011121314[TERJUAL])</f>
        <v>0</v>
      </c>
      <c r="I47" s="143">
        <f>(Table24232567891011121314[HARGA JUAL]*Table24232567891011121314[TERJUAL])-(Table24232567891011121314[HARGA POKOK]*Table24232567891011121314[TERJUAL])</f>
        <v>0</v>
      </c>
      <c r="J47" s="143">
        <f>(Table24232567891011121314[HARGA JUAL]*Table24232567891011121314[TERJUAL])</f>
        <v>0</v>
      </c>
      <c r="K47" s="143">
        <f>Table24232567891011121314[HARGA JUAL]*Table24232567891011121314[SISA]</f>
        <v>0</v>
      </c>
      <c r="L47" s="144">
        <f>Table24232567891011121314[HARGA POKOK]*Table24232567891011121314[STOK]</f>
        <v>0</v>
      </c>
      <c r="M47" s="144">
        <f>Table24232567891011121314[HARGA JUAL]*Table24232567891011121314[STOK]</f>
        <v>0</v>
      </c>
      <c r="N47" s="145"/>
    </row>
    <row r="48" spans="1:14" x14ac:dyDescent="0.25">
      <c r="A48" s="137">
        <v>43</v>
      </c>
      <c r="B48" s="138" t="s">
        <v>31</v>
      </c>
      <c r="C48" s="138" t="s">
        <v>137</v>
      </c>
      <c r="D48" s="140">
        <v>190000</v>
      </c>
      <c r="E48" s="140">
        <v>200000</v>
      </c>
      <c r="F48" s="141">
        <v>0</v>
      </c>
      <c r="G48" s="142"/>
      <c r="H48" s="141">
        <f>(Table24232567891011121314[STOK])-(Table24232567891011121314[TERJUAL])</f>
        <v>0</v>
      </c>
      <c r="I48" s="143">
        <f>(Table24232567891011121314[HARGA JUAL]*Table24232567891011121314[TERJUAL])-(Table24232567891011121314[HARGA POKOK]*Table24232567891011121314[TERJUAL])</f>
        <v>0</v>
      </c>
      <c r="J48" s="143">
        <f>(Table24232567891011121314[HARGA JUAL]*Table24232567891011121314[TERJUAL])</f>
        <v>0</v>
      </c>
      <c r="K48" s="143">
        <f>Table24232567891011121314[HARGA JUAL]*Table24232567891011121314[SISA]</f>
        <v>0</v>
      </c>
      <c r="L48" s="144">
        <f>Table24232567891011121314[HARGA POKOK]*Table24232567891011121314[STOK]</f>
        <v>0</v>
      </c>
      <c r="M48" s="144">
        <f>Table24232567891011121314[HARGA JUAL]*Table24232567891011121314[STOK]</f>
        <v>0</v>
      </c>
      <c r="N48" s="145"/>
    </row>
    <row r="49" spans="1:14" x14ac:dyDescent="0.25">
      <c r="A49" s="137">
        <v>44</v>
      </c>
      <c r="B49" s="138" t="s">
        <v>31</v>
      </c>
      <c r="C49" s="138" t="s">
        <v>139</v>
      </c>
      <c r="D49" s="140">
        <v>16000</v>
      </c>
      <c r="E49" s="140">
        <v>25000</v>
      </c>
      <c r="F49" s="141">
        <v>5</v>
      </c>
      <c r="G49" s="142"/>
      <c r="H49" s="141">
        <f>(Table24232567891011121314[STOK])-(Table24232567891011121314[TERJUAL])</f>
        <v>5</v>
      </c>
      <c r="I49" s="143">
        <f>(Table24232567891011121314[HARGA JUAL]*Table24232567891011121314[TERJUAL])-(Table24232567891011121314[HARGA POKOK]*Table24232567891011121314[TERJUAL])</f>
        <v>0</v>
      </c>
      <c r="J49" s="143">
        <f>(Table24232567891011121314[HARGA JUAL]*Table24232567891011121314[TERJUAL])</f>
        <v>0</v>
      </c>
      <c r="K49" s="143">
        <f>Table24232567891011121314[HARGA JUAL]*Table24232567891011121314[SISA]</f>
        <v>125000</v>
      </c>
      <c r="L49" s="144">
        <f>Table24232567891011121314[HARGA POKOK]*Table24232567891011121314[STOK]</f>
        <v>80000</v>
      </c>
      <c r="M49" s="144">
        <f>Table24232567891011121314[HARGA JUAL]*Table24232567891011121314[STOK]</f>
        <v>125000</v>
      </c>
      <c r="N49" s="145"/>
    </row>
    <row r="50" spans="1:14" x14ac:dyDescent="0.25">
      <c r="A50" s="137">
        <v>45</v>
      </c>
      <c r="B50" s="138" t="s">
        <v>31</v>
      </c>
      <c r="C50" s="138" t="s">
        <v>134</v>
      </c>
      <c r="D50" s="140">
        <v>18000</v>
      </c>
      <c r="E50" s="140">
        <v>30000</v>
      </c>
      <c r="F50" s="141">
        <v>0</v>
      </c>
      <c r="G50" s="142"/>
      <c r="H50" s="141">
        <f>(Table24232567891011121314[STOK])-(Table24232567891011121314[TERJUAL])</f>
        <v>0</v>
      </c>
      <c r="I50" s="143">
        <f>(Table24232567891011121314[HARGA JUAL]*Table24232567891011121314[TERJUAL])-(Table24232567891011121314[HARGA POKOK]*Table24232567891011121314[TERJUAL])</f>
        <v>0</v>
      </c>
      <c r="J50" s="143">
        <f>(Table24232567891011121314[HARGA JUAL]*Table24232567891011121314[TERJUAL])</f>
        <v>0</v>
      </c>
      <c r="K50" s="143">
        <f>Table24232567891011121314[HARGA JUAL]*Table24232567891011121314[SISA]</f>
        <v>0</v>
      </c>
      <c r="L50" s="144">
        <f>Table24232567891011121314[HARGA POKOK]*Table24232567891011121314[STOK]</f>
        <v>0</v>
      </c>
      <c r="M50" s="144">
        <f>Table24232567891011121314[HARGA JUAL]*Table24232567891011121314[STOK]</f>
        <v>0</v>
      </c>
      <c r="N50" s="145"/>
    </row>
    <row r="51" spans="1:14" x14ac:dyDescent="0.25">
      <c r="A51" s="137">
        <v>46</v>
      </c>
      <c r="B51" s="138" t="s">
        <v>31</v>
      </c>
      <c r="C51" s="138" t="s">
        <v>183</v>
      </c>
      <c r="D51" s="140">
        <v>18000</v>
      </c>
      <c r="E51" s="140">
        <v>30000</v>
      </c>
      <c r="F51" s="141">
        <v>8</v>
      </c>
      <c r="G51" s="142">
        <v>6</v>
      </c>
      <c r="H51" s="141">
        <f>(Table24232567891011121314[STOK])-(Table24232567891011121314[TERJUAL])</f>
        <v>2</v>
      </c>
      <c r="I51" s="143">
        <f>(Table24232567891011121314[HARGA JUAL]*Table24232567891011121314[TERJUAL])-(Table24232567891011121314[HARGA POKOK]*Table24232567891011121314[TERJUAL])</f>
        <v>72000</v>
      </c>
      <c r="J51" s="143">
        <f>(Table24232567891011121314[HARGA JUAL]*Table24232567891011121314[TERJUAL])</f>
        <v>180000</v>
      </c>
      <c r="K51" s="143">
        <f>Table24232567891011121314[HARGA JUAL]*Table24232567891011121314[SISA]</f>
        <v>60000</v>
      </c>
      <c r="L51" s="144">
        <f>Table24232567891011121314[HARGA POKOK]*Table24232567891011121314[STOK]</f>
        <v>144000</v>
      </c>
      <c r="M51" s="144">
        <f>Table24232567891011121314[HARGA JUAL]*Table24232567891011121314[STOK]</f>
        <v>240000</v>
      </c>
      <c r="N51" s="145"/>
    </row>
    <row r="52" spans="1:14" x14ac:dyDescent="0.25">
      <c r="A52" s="137">
        <v>47</v>
      </c>
      <c r="B52" s="138" t="s">
        <v>31</v>
      </c>
      <c r="C52" s="193" t="s">
        <v>184</v>
      </c>
      <c r="D52" s="140">
        <v>12500</v>
      </c>
      <c r="E52" s="140">
        <v>30000</v>
      </c>
      <c r="F52" s="141">
        <v>97</v>
      </c>
      <c r="G52" s="142">
        <v>1</v>
      </c>
      <c r="H52" s="141">
        <f>(Table24232567891011121314[STOK])-(Table24232567891011121314[TERJUAL])</f>
        <v>96</v>
      </c>
      <c r="I52" s="143">
        <f>(Table24232567891011121314[HARGA JUAL]*Table24232567891011121314[TERJUAL])-(Table24232567891011121314[HARGA POKOK]*Table24232567891011121314[TERJUAL])</f>
        <v>17500</v>
      </c>
      <c r="J52" s="143">
        <f>(Table24232567891011121314[HARGA JUAL]*Table24232567891011121314[TERJUAL])</f>
        <v>30000</v>
      </c>
      <c r="K52" s="143">
        <f>Table24232567891011121314[HARGA JUAL]*Table24232567891011121314[SISA]</f>
        <v>2880000</v>
      </c>
      <c r="L52" s="144">
        <f>Table24232567891011121314[HARGA POKOK]*Table24232567891011121314[STOK]</f>
        <v>1212500</v>
      </c>
      <c r="M52" s="144">
        <f>Table24232567891011121314[HARGA JUAL]*Table24232567891011121314[STOK]</f>
        <v>2910000</v>
      </c>
      <c r="N52" s="145"/>
    </row>
    <row r="53" spans="1:14" x14ac:dyDescent="0.25">
      <c r="A53" s="137">
        <v>48</v>
      </c>
      <c r="B53" s="138" t="s">
        <v>31</v>
      </c>
      <c r="C53" s="138" t="s">
        <v>185</v>
      </c>
      <c r="D53" s="140">
        <v>28500</v>
      </c>
      <c r="E53" s="140">
        <v>40000</v>
      </c>
      <c r="F53" s="141">
        <v>38</v>
      </c>
      <c r="G53" s="142">
        <v>7</v>
      </c>
      <c r="H53" s="141">
        <f>(Table24232567891011121314[STOK])-(Table24232567891011121314[TERJUAL])</f>
        <v>31</v>
      </c>
      <c r="I53" s="143">
        <f>(Table24232567891011121314[HARGA JUAL]*Table24232567891011121314[TERJUAL])-(Table24232567891011121314[HARGA POKOK]*Table24232567891011121314[TERJUAL])</f>
        <v>80500</v>
      </c>
      <c r="J53" s="143">
        <f>(Table24232567891011121314[HARGA JUAL]*Table24232567891011121314[TERJUAL])</f>
        <v>280000</v>
      </c>
      <c r="K53" s="143">
        <f>Table24232567891011121314[HARGA JUAL]*Table24232567891011121314[SISA]</f>
        <v>1240000</v>
      </c>
      <c r="L53" s="144">
        <f>Table24232567891011121314[HARGA POKOK]*Table24232567891011121314[STOK]</f>
        <v>1083000</v>
      </c>
      <c r="M53" s="144">
        <f>Table24232567891011121314[HARGA JUAL]*Table24232567891011121314[STOK]</f>
        <v>1520000</v>
      </c>
      <c r="N53" s="145"/>
    </row>
    <row r="54" spans="1:14" x14ac:dyDescent="0.25">
      <c r="A54" s="137">
        <v>49</v>
      </c>
      <c r="B54" s="138" t="s">
        <v>31</v>
      </c>
      <c r="C54" s="138" t="s">
        <v>186</v>
      </c>
      <c r="D54" s="140">
        <v>48500</v>
      </c>
      <c r="E54" s="140">
        <v>65000</v>
      </c>
      <c r="F54" s="141">
        <v>9</v>
      </c>
      <c r="G54" s="142"/>
      <c r="H54" s="141">
        <f>(Table24232567891011121314[STOK])-(Table24232567891011121314[TERJUAL])</f>
        <v>9</v>
      </c>
      <c r="I54" s="143">
        <f>(Table24232567891011121314[HARGA JUAL]*Table24232567891011121314[TERJUAL])-(Table24232567891011121314[HARGA POKOK]*Table24232567891011121314[TERJUAL])</f>
        <v>0</v>
      </c>
      <c r="J54" s="143">
        <f>(Table24232567891011121314[HARGA JUAL]*Table24232567891011121314[TERJUAL])</f>
        <v>0</v>
      </c>
      <c r="K54" s="143">
        <f>Table24232567891011121314[HARGA JUAL]*Table24232567891011121314[SISA]</f>
        <v>585000</v>
      </c>
      <c r="L54" s="144">
        <f>Table24232567891011121314[HARGA POKOK]*Table24232567891011121314[STOK]</f>
        <v>436500</v>
      </c>
      <c r="M54" s="144">
        <f>Table24232567891011121314[HARGA JUAL]*Table24232567891011121314[STOK]</f>
        <v>585000</v>
      </c>
      <c r="N54" s="145"/>
    </row>
    <row r="55" spans="1:14" x14ac:dyDescent="0.25">
      <c r="A55" s="137">
        <v>50</v>
      </c>
      <c r="B55" s="138" t="s">
        <v>31</v>
      </c>
      <c r="C55" s="138" t="s">
        <v>187</v>
      </c>
      <c r="D55" s="140">
        <v>47500</v>
      </c>
      <c r="E55" s="140">
        <v>65000</v>
      </c>
      <c r="F55" s="141">
        <v>53</v>
      </c>
      <c r="G55" s="142">
        <v>7</v>
      </c>
      <c r="H55" s="141">
        <f>(Table24232567891011121314[STOK])-(Table24232567891011121314[TERJUAL])</f>
        <v>46</v>
      </c>
      <c r="I55" s="143">
        <f>(Table24232567891011121314[HARGA JUAL]*Table24232567891011121314[TERJUAL])-(Table24232567891011121314[HARGA POKOK]*Table24232567891011121314[TERJUAL])</f>
        <v>122500</v>
      </c>
      <c r="J55" s="143">
        <f>(Table24232567891011121314[HARGA JUAL]*Table24232567891011121314[TERJUAL])</f>
        <v>455000</v>
      </c>
      <c r="K55" s="143">
        <f>Table24232567891011121314[HARGA JUAL]*Table24232567891011121314[SISA]</f>
        <v>2990000</v>
      </c>
      <c r="L55" s="144">
        <f>Table24232567891011121314[HARGA POKOK]*Table24232567891011121314[STOK]</f>
        <v>2517500</v>
      </c>
      <c r="M55" s="144">
        <f>Table24232567891011121314[HARGA JUAL]*Table24232567891011121314[STOK]</f>
        <v>3445000</v>
      </c>
      <c r="N55" s="145"/>
    </row>
    <row r="56" spans="1:14" x14ac:dyDescent="0.25">
      <c r="A56" s="137">
        <v>51</v>
      </c>
      <c r="B56" s="138" t="s">
        <v>32</v>
      </c>
      <c r="C56" s="193" t="s">
        <v>18</v>
      </c>
      <c r="D56" s="140">
        <v>1700</v>
      </c>
      <c r="E56" s="140">
        <v>5000</v>
      </c>
      <c r="F56" s="141">
        <v>2</v>
      </c>
      <c r="G56" s="142"/>
      <c r="H56" s="141">
        <f>(Table24232567891011121314[STOK])-(Table24232567891011121314[TERJUAL])</f>
        <v>2</v>
      </c>
      <c r="I56" s="143">
        <f>(Table24232567891011121314[HARGA JUAL]*Table24232567891011121314[TERJUAL])-(Table24232567891011121314[HARGA POKOK]*Table24232567891011121314[TERJUAL])</f>
        <v>0</v>
      </c>
      <c r="J56" s="143">
        <f>(Table24232567891011121314[HARGA JUAL]*Table24232567891011121314[TERJUAL])</f>
        <v>0</v>
      </c>
      <c r="K56" s="143">
        <f>Table24232567891011121314[HARGA JUAL]*Table24232567891011121314[SISA]</f>
        <v>10000</v>
      </c>
      <c r="L56" s="144">
        <f>Table24232567891011121314[HARGA POKOK]*Table24232567891011121314[STOK]</f>
        <v>3400</v>
      </c>
      <c r="M56" s="144">
        <f>Table24232567891011121314[HARGA JUAL]*Table24232567891011121314[STOK]</f>
        <v>10000</v>
      </c>
      <c r="N56" s="145"/>
    </row>
    <row r="57" spans="1:14" x14ac:dyDescent="0.25">
      <c r="A57" s="137">
        <v>52</v>
      </c>
      <c r="B57" s="138" t="s">
        <v>32</v>
      </c>
      <c r="C57" s="138" t="s">
        <v>21</v>
      </c>
      <c r="D57" s="140">
        <v>30000</v>
      </c>
      <c r="E57" s="140">
        <v>45000</v>
      </c>
      <c r="F57" s="141">
        <v>7</v>
      </c>
      <c r="G57" s="142">
        <v>4</v>
      </c>
      <c r="H57" s="141">
        <f>(Table24232567891011121314[STOK])-(Table24232567891011121314[TERJUAL])</f>
        <v>3</v>
      </c>
      <c r="I57" s="143">
        <f>(Table24232567891011121314[HARGA JUAL]*Table24232567891011121314[TERJUAL])-(Table24232567891011121314[HARGA POKOK]*Table24232567891011121314[TERJUAL])</f>
        <v>60000</v>
      </c>
      <c r="J57" s="143">
        <f>(Table24232567891011121314[HARGA JUAL]*Table24232567891011121314[TERJUAL])</f>
        <v>180000</v>
      </c>
      <c r="K57" s="143">
        <f>Table24232567891011121314[HARGA JUAL]*Table24232567891011121314[SISA]</f>
        <v>135000</v>
      </c>
      <c r="L57" s="144">
        <f>Table24232567891011121314[HARGA POKOK]*Table24232567891011121314[STOK]</f>
        <v>210000</v>
      </c>
      <c r="M57" s="144">
        <f>Table24232567891011121314[HARGA JUAL]*Table24232567891011121314[STOK]</f>
        <v>315000</v>
      </c>
      <c r="N57" s="145"/>
    </row>
    <row r="58" spans="1:14" x14ac:dyDescent="0.25">
      <c r="A58" s="137">
        <v>53</v>
      </c>
      <c r="B58" s="138" t="s">
        <v>32</v>
      </c>
      <c r="C58" s="138" t="s">
        <v>20</v>
      </c>
      <c r="D58" s="140">
        <v>1500</v>
      </c>
      <c r="E58" s="140">
        <v>5000</v>
      </c>
      <c r="F58" s="141">
        <v>77</v>
      </c>
      <c r="G58" s="142">
        <v>5</v>
      </c>
      <c r="H58" s="141">
        <f>(Table24232567891011121314[STOK])-(Table24232567891011121314[TERJUAL])</f>
        <v>72</v>
      </c>
      <c r="I58" s="143">
        <f>(Table24232567891011121314[HARGA JUAL]*Table24232567891011121314[TERJUAL])-(Table24232567891011121314[HARGA POKOK]*Table24232567891011121314[TERJUAL])</f>
        <v>17500</v>
      </c>
      <c r="J58" s="143">
        <f>(Table24232567891011121314[HARGA JUAL]*Table24232567891011121314[TERJUAL])</f>
        <v>25000</v>
      </c>
      <c r="K58" s="143">
        <f>Table24232567891011121314[HARGA JUAL]*Table24232567891011121314[SISA]</f>
        <v>360000</v>
      </c>
      <c r="L58" s="144">
        <f>Table24232567891011121314[HARGA POKOK]*Table24232567891011121314[STOK]</f>
        <v>115500</v>
      </c>
      <c r="M58" s="144">
        <f>Table24232567891011121314[HARGA JUAL]*Table24232567891011121314[STOK]</f>
        <v>385000</v>
      </c>
      <c r="N58" s="145"/>
    </row>
    <row r="59" spans="1:14" x14ac:dyDescent="0.25">
      <c r="A59" s="137">
        <v>54</v>
      </c>
      <c r="B59" s="138" t="s">
        <v>32</v>
      </c>
      <c r="C59" s="138" t="s">
        <v>23</v>
      </c>
      <c r="D59" s="140">
        <v>30000</v>
      </c>
      <c r="E59" s="140">
        <v>40000</v>
      </c>
      <c r="F59" s="141">
        <v>8</v>
      </c>
      <c r="G59" s="142"/>
      <c r="H59" s="141">
        <f>(Table24232567891011121314[STOK])-(Table24232567891011121314[TERJUAL])</f>
        <v>8</v>
      </c>
      <c r="I59" s="143">
        <f>(Table24232567891011121314[HARGA JUAL]*Table24232567891011121314[TERJUAL])-(Table24232567891011121314[HARGA POKOK]*Table24232567891011121314[TERJUAL])</f>
        <v>0</v>
      </c>
      <c r="J59" s="143">
        <f>(Table24232567891011121314[HARGA JUAL]*Table24232567891011121314[TERJUAL])</f>
        <v>0</v>
      </c>
      <c r="K59" s="143">
        <f>Table24232567891011121314[HARGA JUAL]*Table24232567891011121314[SISA]</f>
        <v>320000</v>
      </c>
      <c r="L59" s="144">
        <f>Table24232567891011121314[HARGA POKOK]*Table24232567891011121314[STOK]</f>
        <v>240000</v>
      </c>
      <c r="M59" s="144">
        <f>Table24232567891011121314[HARGA JUAL]*Table24232567891011121314[STOK]</f>
        <v>320000</v>
      </c>
      <c r="N59" s="145"/>
    </row>
    <row r="60" spans="1:14" x14ac:dyDescent="0.25">
      <c r="A60" s="137">
        <v>55</v>
      </c>
      <c r="B60" s="138" t="s">
        <v>32</v>
      </c>
      <c r="C60" s="138" t="s">
        <v>19</v>
      </c>
      <c r="D60" s="140">
        <v>1600</v>
      </c>
      <c r="E60" s="140">
        <v>5000</v>
      </c>
      <c r="F60" s="141">
        <v>123</v>
      </c>
      <c r="G60" s="142">
        <v>28</v>
      </c>
      <c r="H60" s="141">
        <f>(Table24232567891011121314[STOK])-(Table24232567891011121314[TERJUAL])</f>
        <v>95</v>
      </c>
      <c r="I60" s="143">
        <f>(Table24232567891011121314[HARGA JUAL]*Table24232567891011121314[TERJUAL])-(Table24232567891011121314[HARGA POKOK]*Table24232567891011121314[TERJUAL])</f>
        <v>95200</v>
      </c>
      <c r="J60" s="143">
        <f>(Table24232567891011121314[HARGA JUAL]*Table24232567891011121314[TERJUAL])</f>
        <v>140000</v>
      </c>
      <c r="K60" s="143">
        <f>Table24232567891011121314[HARGA JUAL]*Table24232567891011121314[SISA]</f>
        <v>475000</v>
      </c>
      <c r="L60" s="144">
        <f>Table24232567891011121314[HARGA POKOK]*Table24232567891011121314[STOK]</f>
        <v>196800</v>
      </c>
      <c r="M60" s="144">
        <f>Table24232567891011121314[HARGA JUAL]*Table24232567891011121314[STOK]</f>
        <v>615000</v>
      </c>
      <c r="N60" s="145"/>
    </row>
    <row r="61" spans="1:14" x14ac:dyDescent="0.25">
      <c r="A61" s="137">
        <v>56</v>
      </c>
      <c r="B61" s="138" t="s">
        <v>32</v>
      </c>
      <c r="C61" s="138" t="s">
        <v>22</v>
      </c>
      <c r="D61" s="140">
        <v>30000</v>
      </c>
      <c r="E61" s="140">
        <v>40000</v>
      </c>
      <c r="F61" s="141">
        <v>6</v>
      </c>
      <c r="G61" s="142"/>
      <c r="H61" s="141">
        <f>(Table24232567891011121314[STOK])-(Table24232567891011121314[TERJUAL])</f>
        <v>6</v>
      </c>
      <c r="I61" s="143">
        <f>(Table24232567891011121314[HARGA JUAL]*Table24232567891011121314[TERJUAL])-(Table24232567891011121314[HARGA POKOK]*Table24232567891011121314[TERJUAL])</f>
        <v>0</v>
      </c>
      <c r="J61" s="143">
        <f>(Table24232567891011121314[HARGA JUAL]*Table24232567891011121314[TERJUAL])</f>
        <v>0</v>
      </c>
      <c r="K61" s="143">
        <f>Table24232567891011121314[HARGA JUAL]*Table24232567891011121314[SISA]</f>
        <v>240000</v>
      </c>
      <c r="L61" s="144">
        <f>Table24232567891011121314[HARGA POKOK]*Table24232567891011121314[STOK]</f>
        <v>180000</v>
      </c>
      <c r="M61" s="144">
        <f>Table24232567891011121314[HARGA JUAL]*Table24232567891011121314[STOK]</f>
        <v>240000</v>
      </c>
      <c r="N61" s="145"/>
    </row>
    <row r="62" spans="1:14" x14ac:dyDescent="0.25">
      <c r="A62" s="137">
        <v>57</v>
      </c>
      <c r="B62" s="138" t="s">
        <v>32</v>
      </c>
      <c r="C62" s="138" t="s">
        <v>24</v>
      </c>
      <c r="D62" s="140">
        <v>17500</v>
      </c>
      <c r="E62" s="140">
        <v>40000</v>
      </c>
      <c r="F62" s="141">
        <v>0</v>
      </c>
      <c r="G62" s="142"/>
      <c r="H62" s="141">
        <f>(Table24232567891011121314[STOK])-(Table24232567891011121314[TERJUAL])</f>
        <v>0</v>
      </c>
      <c r="I62" s="143">
        <f>(Table24232567891011121314[HARGA JUAL]*Table24232567891011121314[TERJUAL])-(Table24232567891011121314[HARGA POKOK]*Table24232567891011121314[TERJUAL])</f>
        <v>0</v>
      </c>
      <c r="J62" s="143">
        <f>(Table24232567891011121314[HARGA JUAL]*Table24232567891011121314[TERJUAL])</f>
        <v>0</v>
      </c>
      <c r="K62" s="143">
        <f>Table24232567891011121314[HARGA JUAL]*Table24232567891011121314[SISA]</f>
        <v>0</v>
      </c>
      <c r="L62" s="144">
        <f>Table24232567891011121314[HARGA POKOK]*Table24232567891011121314[STOK]</f>
        <v>0</v>
      </c>
      <c r="M62" s="144">
        <f>Table24232567891011121314[HARGA JUAL]*Table24232567891011121314[STOK]</f>
        <v>0</v>
      </c>
      <c r="N62" s="145"/>
    </row>
    <row r="63" spans="1:14" x14ac:dyDescent="0.25">
      <c r="A63" s="137">
        <v>58</v>
      </c>
      <c r="B63" s="138" t="s">
        <v>144</v>
      </c>
      <c r="C63" s="138" t="s">
        <v>145</v>
      </c>
      <c r="D63" s="140">
        <v>3000</v>
      </c>
      <c r="E63" s="140">
        <v>6000</v>
      </c>
      <c r="F63" s="141">
        <v>9</v>
      </c>
      <c r="G63" s="142">
        <v>2</v>
      </c>
      <c r="H63" s="141">
        <f>(Table24232567891011121314[STOK])-(Table24232567891011121314[TERJUAL])</f>
        <v>7</v>
      </c>
      <c r="I63" s="143">
        <f>(Table24232567891011121314[HARGA JUAL]*Table24232567891011121314[TERJUAL])-(Table24232567891011121314[HARGA POKOK]*Table24232567891011121314[TERJUAL])</f>
        <v>6000</v>
      </c>
      <c r="J63" s="143">
        <f>(Table24232567891011121314[HARGA JUAL]*Table24232567891011121314[TERJUAL])</f>
        <v>12000</v>
      </c>
      <c r="K63" s="143">
        <f>Table24232567891011121314[HARGA JUAL]*Table24232567891011121314[SISA]</f>
        <v>42000</v>
      </c>
      <c r="L63" s="144">
        <f>Table24232567891011121314[HARGA POKOK]*Table24232567891011121314[STOK]</f>
        <v>27000</v>
      </c>
      <c r="M63" s="144">
        <f>Table24232567891011121314[HARGA JUAL]*Table24232567891011121314[STOK]</f>
        <v>54000</v>
      </c>
      <c r="N63" s="145"/>
    </row>
    <row r="64" spans="1:14" x14ac:dyDescent="0.25">
      <c r="A64" s="261">
        <v>59</v>
      </c>
      <c r="B64" s="256" t="s">
        <v>290</v>
      </c>
      <c r="C64" s="256" t="s">
        <v>188</v>
      </c>
      <c r="D64" s="262">
        <v>364000</v>
      </c>
      <c r="E64" s="262">
        <v>475000</v>
      </c>
      <c r="F64" s="263">
        <v>184</v>
      </c>
      <c r="G64" s="264">
        <v>90</v>
      </c>
      <c r="H64" s="263">
        <v>70</v>
      </c>
      <c r="I64" s="265">
        <f>(Table24232567891011121314[HARGA JUAL]*Table24232567891011121314[TERJUAL])-(Table24232567891011121314[HARGA POKOK]*Table24232567891011121314[TERJUAL])</f>
        <v>9990000</v>
      </c>
      <c r="J64" s="265">
        <f>(Table24232567891011121314[HARGA JUAL]*Table24232567891011121314[TERJUAL])</f>
        <v>42750000</v>
      </c>
      <c r="K64" s="265">
        <f>Table24232567891011121314[HARGA JUAL]*Table24232567891011121314[SISA]</f>
        <v>33250000</v>
      </c>
      <c r="L64" s="266">
        <f>Table24232567891011121314[HARGA POKOK]*Table24232567891011121314[STOK]</f>
        <v>66976000</v>
      </c>
      <c r="M64" s="266">
        <f>Table24232567891011121314[HARGA JUAL]*Table24232567891011121314[STOK]</f>
        <v>87400000</v>
      </c>
      <c r="N64" s="267"/>
    </row>
    <row r="65" spans="1:14" x14ac:dyDescent="0.25">
      <c r="A65" s="137">
        <v>60</v>
      </c>
      <c r="B65" s="138" t="s">
        <v>33</v>
      </c>
      <c r="C65" s="138" t="s">
        <v>189</v>
      </c>
      <c r="D65" s="140">
        <v>452000</v>
      </c>
      <c r="E65" s="140">
        <v>560000</v>
      </c>
      <c r="F65" s="141">
        <v>0</v>
      </c>
      <c r="G65" s="142"/>
      <c r="H65" s="141">
        <f>(Table24232567891011121314[STOK])-(Table24232567891011121314[TERJUAL])</f>
        <v>0</v>
      </c>
      <c r="I65" s="143">
        <f>(Table24232567891011121314[HARGA JUAL]*Table24232567891011121314[TERJUAL])-(Table24232567891011121314[HARGA POKOK]*Table24232567891011121314[TERJUAL])</f>
        <v>0</v>
      </c>
      <c r="J65" s="143">
        <f>(Table24232567891011121314[HARGA JUAL]*Table24232567891011121314[TERJUAL])</f>
        <v>0</v>
      </c>
      <c r="K65" s="143">
        <f>Table24232567891011121314[HARGA JUAL]*Table24232567891011121314[SISA]</f>
        <v>0</v>
      </c>
      <c r="L65" s="144">
        <f>Table24232567891011121314[HARGA POKOK]*Table24232567891011121314[STOK]</f>
        <v>0</v>
      </c>
      <c r="M65" s="144">
        <f>Table24232567891011121314[HARGA JUAL]*Table24232567891011121314[STOK]</f>
        <v>0</v>
      </c>
      <c r="N65" s="145"/>
    </row>
    <row r="66" spans="1:14" x14ac:dyDescent="0.25">
      <c r="A66" s="137">
        <v>61</v>
      </c>
      <c r="B66" s="138" t="s">
        <v>192</v>
      </c>
      <c r="C66" s="138" t="s">
        <v>142</v>
      </c>
      <c r="D66" s="140">
        <v>310000</v>
      </c>
      <c r="E66" s="140">
        <v>435000</v>
      </c>
      <c r="F66" s="141">
        <v>0</v>
      </c>
      <c r="G66" s="142"/>
      <c r="H66" s="141">
        <f>(Table24232567891011121314[STOK])-(Table24232567891011121314[TERJUAL])</f>
        <v>0</v>
      </c>
      <c r="I66" s="143">
        <f>(Table24232567891011121314[HARGA JUAL]*Table24232567891011121314[TERJUAL])-(Table24232567891011121314[HARGA POKOK]*Table24232567891011121314[TERJUAL])</f>
        <v>0</v>
      </c>
      <c r="J66" s="143">
        <f>(Table24232567891011121314[HARGA JUAL]*Table24232567891011121314[TERJUAL])</f>
        <v>0</v>
      </c>
      <c r="K66" s="143">
        <f>Table24232567891011121314[HARGA JUAL]*Table24232567891011121314[SISA]</f>
        <v>0</v>
      </c>
      <c r="L66" s="144">
        <f>Table24232567891011121314[HARGA POKOK]*Table24232567891011121314[STOK]</f>
        <v>0</v>
      </c>
      <c r="M66" s="144">
        <f>Table24232567891011121314[HARGA JUAL]*Table24232567891011121314[STOK]</f>
        <v>0</v>
      </c>
      <c r="N66" s="145"/>
    </row>
    <row r="67" spans="1:14" x14ac:dyDescent="0.25">
      <c r="A67" s="137">
        <v>62</v>
      </c>
      <c r="B67" s="138" t="s">
        <v>192</v>
      </c>
      <c r="C67" s="138" t="s">
        <v>269</v>
      </c>
      <c r="D67" s="140">
        <v>417000</v>
      </c>
      <c r="E67" s="140">
        <v>460000</v>
      </c>
      <c r="F67" s="141"/>
      <c r="G67" s="142"/>
      <c r="H67" s="141">
        <f>(Table24232567891011121314[STOK])-(Table24232567891011121314[TERJUAL])</f>
        <v>0</v>
      </c>
      <c r="I67" s="143">
        <f>(Table24232567891011121314[HARGA JUAL]*Table24232567891011121314[TERJUAL])-(Table24232567891011121314[HARGA POKOK]*Table24232567891011121314[TERJUAL])</f>
        <v>0</v>
      </c>
      <c r="J67" s="143">
        <f>(Table24232567891011121314[HARGA JUAL]*Table24232567891011121314[TERJUAL])</f>
        <v>0</v>
      </c>
      <c r="K67" s="143">
        <f>Table24232567891011121314[HARGA JUAL]*Table24232567891011121314[SISA]</f>
        <v>0</v>
      </c>
      <c r="L67" s="144">
        <f>Table24232567891011121314[HARGA POKOK]*Table24232567891011121314[STOK]</f>
        <v>0</v>
      </c>
      <c r="M67" s="144">
        <f>Table24232567891011121314[HARGA JUAL]*Table24232567891011121314[STOK]</f>
        <v>0</v>
      </c>
      <c r="N67" s="145"/>
    </row>
    <row r="68" spans="1:14" x14ac:dyDescent="0.25">
      <c r="A68" s="137">
        <v>63</v>
      </c>
      <c r="B68" s="138" t="s">
        <v>193</v>
      </c>
      <c r="C68" s="138" t="s">
        <v>191</v>
      </c>
      <c r="D68" s="140">
        <v>9000</v>
      </c>
      <c r="E68" s="140">
        <v>15000</v>
      </c>
      <c r="F68" s="141">
        <v>58</v>
      </c>
      <c r="G68" s="142">
        <v>8</v>
      </c>
      <c r="H68" s="141">
        <f>(Table24232567891011121314[STOK])-(Table24232567891011121314[TERJUAL])</f>
        <v>50</v>
      </c>
      <c r="I68" s="143">
        <f>(Table24232567891011121314[HARGA JUAL]*Table24232567891011121314[TERJUAL])-(Table24232567891011121314[HARGA POKOK]*Table24232567891011121314[TERJUAL])</f>
        <v>48000</v>
      </c>
      <c r="J68" s="143">
        <f>(Table24232567891011121314[HARGA JUAL]*Table24232567891011121314[TERJUAL])</f>
        <v>120000</v>
      </c>
      <c r="K68" s="143">
        <f>Table24232567891011121314[HARGA JUAL]*Table24232567891011121314[SISA]</f>
        <v>750000</v>
      </c>
      <c r="L68" s="144">
        <f>Table24232567891011121314[HARGA POKOK]*Table24232567891011121314[STOK]</f>
        <v>522000</v>
      </c>
      <c r="M68" s="144">
        <f>Table24232567891011121314[HARGA JUAL]*Table24232567891011121314[STOK]</f>
        <v>870000</v>
      </c>
      <c r="N68" s="145"/>
    </row>
    <row r="69" spans="1:14" x14ac:dyDescent="0.25">
      <c r="A69" s="137">
        <v>64</v>
      </c>
      <c r="B69" s="138" t="s">
        <v>193</v>
      </c>
      <c r="C69" s="138" t="s">
        <v>214</v>
      </c>
      <c r="D69" s="140">
        <v>9000</v>
      </c>
      <c r="E69" s="140">
        <v>15000</v>
      </c>
      <c r="F69" s="141">
        <v>44</v>
      </c>
      <c r="G69" s="142">
        <v>40</v>
      </c>
      <c r="H69" s="141">
        <f>(Table24232567891011121314[STOK])-(Table24232567891011121314[TERJUAL])</f>
        <v>4</v>
      </c>
      <c r="I69" s="143">
        <f>(Table24232567891011121314[HARGA JUAL]*Table24232567891011121314[TERJUAL])-(Table24232567891011121314[HARGA POKOK]*Table24232567891011121314[TERJUAL])</f>
        <v>240000</v>
      </c>
      <c r="J69" s="143">
        <f>(Table24232567891011121314[HARGA JUAL]*Table24232567891011121314[TERJUAL])</f>
        <v>600000</v>
      </c>
      <c r="K69" s="143">
        <f>Table24232567891011121314[HARGA JUAL]*Table24232567891011121314[SISA]</f>
        <v>60000</v>
      </c>
      <c r="L69" s="144">
        <f>Table24232567891011121314[HARGA POKOK]*Table24232567891011121314[STOK]</f>
        <v>396000</v>
      </c>
      <c r="M69" s="144">
        <f>Table24232567891011121314[HARGA JUAL]*Table24232567891011121314[STOK]</f>
        <v>660000</v>
      </c>
      <c r="N69" s="145"/>
    </row>
    <row r="70" spans="1:14" x14ac:dyDescent="0.25">
      <c r="A70" s="137">
        <v>65</v>
      </c>
      <c r="B70" s="138" t="s">
        <v>206</v>
      </c>
      <c r="C70" s="138" t="s">
        <v>207</v>
      </c>
      <c r="D70" s="140">
        <v>12000</v>
      </c>
      <c r="E70" s="140">
        <v>28000</v>
      </c>
      <c r="F70" s="141">
        <v>0</v>
      </c>
      <c r="G70" s="142"/>
      <c r="H70" s="141">
        <f>(Table24232567891011121314[STOK])-(Table24232567891011121314[TERJUAL])</f>
        <v>0</v>
      </c>
      <c r="I70" s="143">
        <f>(Table24232567891011121314[HARGA JUAL]*Table24232567891011121314[TERJUAL])-(Table24232567891011121314[HARGA POKOK]*Table24232567891011121314[TERJUAL])</f>
        <v>0</v>
      </c>
      <c r="J70" s="143">
        <f>(Table24232567891011121314[HARGA JUAL]*Table24232567891011121314[TERJUAL])</f>
        <v>0</v>
      </c>
      <c r="K70" s="143">
        <f>Table24232567891011121314[HARGA JUAL]*Table24232567891011121314[SISA]</f>
        <v>0</v>
      </c>
      <c r="L70" s="144">
        <f>Table24232567891011121314[HARGA POKOK]*Table24232567891011121314[STOK]</f>
        <v>0</v>
      </c>
      <c r="M70" s="144">
        <f>Table24232567891011121314[HARGA JUAL]*Table24232567891011121314[STOK]</f>
        <v>0</v>
      </c>
      <c r="N70" s="145"/>
    </row>
    <row r="71" spans="1:14" x14ac:dyDescent="0.25">
      <c r="A71" s="137">
        <v>66</v>
      </c>
      <c r="B71" s="138" t="s">
        <v>206</v>
      </c>
      <c r="C71" s="138" t="s">
        <v>208</v>
      </c>
      <c r="D71" s="140">
        <v>21000</v>
      </c>
      <c r="E71" s="140">
        <v>45000</v>
      </c>
      <c r="F71" s="141">
        <v>2</v>
      </c>
      <c r="G71" s="142">
        <v>2</v>
      </c>
      <c r="H71" s="141">
        <f>(Table24232567891011121314[STOK])-(Table24232567891011121314[TERJUAL])</f>
        <v>0</v>
      </c>
      <c r="I71" s="143">
        <f>(Table24232567891011121314[HARGA JUAL]*Table24232567891011121314[TERJUAL])-(Table24232567891011121314[HARGA POKOK]*Table24232567891011121314[TERJUAL])</f>
        <v>48000</v>
      </c>
      <c r="J71" s="143">
        <f>(Table24232567891011121314[HARGA JUAL]*Table24232567891011121314[TERJUAL])</f>
        <v>90000</v>
      </c>
      <c r="K71" s="143">
        <f>Table24232567891011121314[HARGA JUAL]*Table24232567891011121314[SISA]</f>
        <v>0</v>
      </c>
      <c r="L71" s="144">
        <f>Table24232567891011121314[HARGA POKOK]*Table24232567891011121314[STOK]</f>
        <v>42000</v>
      </c>
      <c r="M71" s="144">
        <f>Table24232567891011121314[HARGA JUAL]*Table24232567891011121314[STOK]</f>
        <v>90000</v>
      </c>
      <c r="N71" s="145"/>
    </row>
    <row r="72" spans="1:14" x14ac:dyDescent="0.25">
      <c r="A72" s="137">
        <v>67</v>
      </c>
      <c r="B72" s="138" t="s">
        <v>209</v>
      </c>
      <c r="C72" s="138" t="s">
        <v>210</v>
      </c>
      <c r="D72" s="140">
        <v>20000</v>
      </c>
      <c r="E72" s="140">
        <v>40000</v>
      </c>
      <c r="F72" s="141">
        <v>5</v>
      </c>
      <c r="G72" s="142">
        <v>1</v>
      </c>
      <c r="H72" s="141">
        <f>(Table24232567891011121314[STOK])-(Table24232567891011121314[TERJUAL])</f>
        <v>4</v>
      </c>
      <c r="I72" s="143">
        <f>(Table24232567891011121314[HARGA JUAL]*Table24232567891011121314[TERJUAL])-(Table24232567891011121314[HARGA POKOK]*Table24232567891011121314[TERJUAL])</f>
        <v>20000</v>
      </c>
      <c r="J72" s="143">
        <f>(Table24232567891011121314[HARGA JUAL]*Table24232567891011121314[TERJUAL])</f>
        <v>40000</v>
      </c>
      <c r="K72" s="143">
        <f>Table24232567891011121314[HARGA JUAL]*Table24232567891011121314[SISA]</f>
        <v>160000</v>
      </c>
      <c r="L72" s="144">
        <f>Table24232567891011121314[HARGA POKOK]*Table24232567891011121314[STOK]</f>
        <v>100000</v>
      </c>
      <c r="M72" s="144">
        <f>Table24232567891011121314[HARGA JUAL]*Table24232567891011121314[STOK]</f>
        <v>200000</v>
      </c>
      <c r="N72" s="145"/>
    </row>
    <row r="73" spans="1:14" x14ac:dyDescent="0.25">
      <c r="A73" s="137">
        <v>68</v>
      </c>
      <c r="B73" s="138" t="s">
        <v>209</v>
      </c>
      <c r="C73" s="138" t="s">
        <v>211</v>
      </c>
      <c r="D73" s="140">
        <v>26000</v>
      </c>
      <c r="E73" s="140">
        <v>45000</v>
      </c>
      <c r="F73" s="141">
        <v>5</v>
      </c>
      <c r="G73" s="142"/>
      <c r="H73" s="141">
        <f>(Table24232567891011121314[STOK])-(Table24232567891011121314[TERJUAL])</f>
        <v>5</v>
      </c>
      <c r="I73" s="143">
        <f>(Table24232567891011121314[HARGA JUAL]*Table24232567891011121314[TERJUAL])-(Table24232567891011121314[HARGA POKOK]*Table24232567891011121314[TERJUAL])</f>
        <v>0</v>
      </c>
      <c r="J73" s="143">
        <f>(Table24232567891011121314[HARGA JUAL]*Table24232567891011121314[TERJUAL])</f>
        <v>0</v>
      </c>
      <c r="K73" s="143">
        <f>Table24232567891011121314[HARGA JUAL]*Table24232567891011121314[SISA]</f>
        <v>225000</v>
      </c>
      <c r="L73" s="144">
        <f>Table24232567891011121314[HARGA POKOK]*Table24232567891011121314[STOK]</f>
        <v>130000</v>
      </c>
      <c r="M73" s="144">
        <f>Table24232567891011121314[HARGA JUAL]*Table24232567891011121314[STOK]</f>
        <v>225000</v>
      </c>
      <c r="N73" s="145"/>
    </row>
    <row r="74" spans="1:14" x14ac:dyDescent="0.25">
      <c r="A74" s="137">
        <v>69</v>
      </c>
      <c r="B74" s="138" t="s">
        <v>212</v>
      </c>
      <c r="C74" s="138" t="s">
        <v>213</v>
      </c>
      <c r="D74" s="140">
        <v>600000</v>
      </c>
      <c r="E74" s="140">
        <v>800000</v>
      </c>
      <c r="F74" s="141">
        <v>1</v>
      </c>
      <c r="G74" s="142"/>
      <c r="H74" s="141">
        <f>(Table24232567891011121314[STOK])-(Table24232567891011121314[TERJUAL])</f>
        <v>1</v>
      </c>
      <c r="I74" s="143">
        <f>(Table24232567891011121314[HARGA JUAL]*Table24232567891011121314[TERJUAL])-(Table24232567891011121314[HARGA POKOK]*Table24232567891011121314[TERJUAL])</f>
        <v>0</v>
      </c>
      <c r="J74" s="143">
        <f>(Table24232567891011121314[HARGA JUAL]*Table24232567891011121314[TERJUAL])</f>
        <v>0</v>
      </c>
      <c r="K74" s="143">
        <f>Table24232567891011121314[HARGA JUAL]*Table24232567891011121314[SISA]</f>
        <v>800000</v>
      </c>
      <c r="L74" s="144">
        <f>Table24232567891011121314[HARGA POKOK]*Table24232567891011121314[STOK]</f>
        <v>600000</v>
      </c>
      <c r="M74" s="144">
        <f>Table24232567891011121314[HARGA JUAL]*Table24232567891011121314[STOK]</f>
        <v>800000</v>
      </c>
      <c r="N74" s="145"/>
    </row>
    <row r="75" spans="1:14" x14ac:dyDescent="0.25">
      <c r="A75" s="192">
        <v>70</v>
      </c>
      <c r="B75" s="193" t="s">
        <v>194</v>
      </c>
      <c r="C75" s="193" t="s">
        <v>194</v>
      </c>
      <c r="D75" s="194">
        <v>30000</v>
      </c>
      <c r="E75" s="194">
        <v>40000</v>
      </c>
      <c r="F75" s="195">
        <v>15</v>
      </c>
      <c r="G75" s="196">
        <v>1</v>
      </c>
      <c r="H75" s="195">
        <f>(Table24232567891011121314[STOK])-(Table24232567891011121314[TERJUAL])</f>
        <v>14</v>
      </c>
      <c r="I75" s="197">
        <f>(Table24232567891011121314[HARGA JUAL]*Table24232567891011121314[TERJUAL])-(Table24232567891011121314[HARGA POKOK]*Table24232567891011121314[TERJUAL])</f>
        <v>10000</v>
      </c>
      <c r="J75" s="197">
        <f>(Table24232567891011121314[HARGA JUAL]*Table24232567891011121314[TERJUAL])</f>
        <v>40000</v>
      </c>
      <c r="K75" s="197"/>
      <c r="L75" s="198"/>
      <c r="M75" s="198"/>
      <c r="N75" s="199"/>
    </row>
    <row r="76" spans="1:14" x14ac:dyDescent="0.25">
      <c r="A76" s="137">
        <v>71</v>
      </c>
      <c r="B76" s="146" t="s">
        <v>195</v>
      </c>
      <c r="C76" s="146" t="s">
        <v>195</v>
      </c>
      <c r="D76" s="147">
        <v>30000</v>
      </c>
      <c r="E76" s="147">
        <v>40000</v>
      </c>
      <c r="F76" s="148">
        <v>15</v>
      </c>
      <c r="G76" s="149"/>
      <c r="H76" s="148">
        <f>(Table24232567891011121314[STOK])-(Table24232567891011121314[TERJUAL])</f>
        <v>15</v>
      </c>
      <c r="I76" s="150">
        <f>(Table24232567891011121314[HARGA JUAL]*Table24232567891011121314[TERJUAL])-(Table24232567891011121314[HARGA POKOK]*Table24232567891011121314[TERJUAL])</f>
        <v>0</v>
      </c>
      <c r="J76" s="150">
        <f>(Table24232567891011121314[HARGA JUAL]*Table24232567891011121314[TERJUAL])</f>
        <v>0</v>
      </c>
      <c r="K76" s="150">
        <f>Table24232567891011121314[HARGA JUAL]*Table24232567891011121314[SISA]</f>
        <v>600000</v>
      </c>
      <c r="L76" s="151">
        <f>Table24232567891011121314[HARGA POKOK]*Table24232567891011121314[STOK]</f>
        <v>450000</v>
      </c>
      <c r="M76" s="151">
        <f>Table24232567891011121314[HARGA JUAL]*Table24232567891011121314[STOK]</f>
        <v>600000</v>
      </c>
      <c r="N76" s="152"/>
    </row>
    <row r="77" spans="1:14" x14ac:dyDescent="0.25">
      <c r="A77" s="192">
        <v>72</v>
      </c>
      <c r="B77" s="193" t="s">
        <v>215</v>
      </c>
      <c r="C77" s="193" t="s">
        <v>215</v>
      </c>
      <c r="D77" s="194">
        <v>310000</v>
      </c>
      <c r="E77" s="194">
        <v>410000</v>
      </c>
      <c r="F77" s="195">
        <v>0</v>
      </c>
      <c r="G77" s="196"/>
      <c r="H77" s="195">
        <f>(Table24232567891011121314[STOK])-(Table24232567891011121314[TERJUAL])</f>
        <v>0</v>
      </c>
      <c r="I77" s="197">
        <f>(Table24232567891011121314[HARGA JUAL]*Table24232567891011121314[TERJUAL])-(Table24232567891011121314[HARGA POKOK]*Table24232567891011121314[TERJUAL])</f>
        <v>0</v>
      </c>
      <c r="J77" s="197">
        <f>(Table24232567891011121314[HARGA JUAL]*Table24232567891011121314[TERJUAL])</f>
        <v>0</v>
      </c>
      <c r="K77" s="197">
        <f>Table24232567891011121314[HARGA JUAL]*Table24232567891011121314[SISA]</f>
        <v>0</v>
      </c>
      <c r="L77" s="198">
        <f>Table24232567891011121314[HARGA POKOK]*Table24232567891011121314[STOK]</f>
        <v>0</v>
      </c>
      <c r="M77" s="198">
        <f>Table24232567891011121314[HARGA JUAL]*Table24232567891011121314[STOK]</f>
        <v>0</v>
      </c>
      <c r="N77" s="199"/>
    </row>
    <row r="78" spans="1:14" s="180" customFormat="1" x14ac:dyDescent="0.25">
      <c r="A78" s="137">
        <v>73</v>
      </c>
      <c r="B78" s="153" t="s">
        <v>212</v>
      </c>
      <c r="C78" s="153" t="s">
        <v>213</v>
      </c>
      <c r="D78" s="154">
        <v>6000</v>
      </c>
      <c r="E78" s="154">
        <v>8000</v>
      </c>
      <c r="F78" s="155"/>
      <c r="G78" s="178">
        <v>27</v>
      </c>
      <c r="H78" s="155">
        <f>(Table24232567891011121314[STOK])-(Table24232567891011121314[TERJUAL])</f>
        <v>-27</v>
      </c>
      <c r="I78" s="157">
        <f>(Table24232567891011121314[HARGA JUAL]*Table24232567891011121314[TERJUAL])-(Table24232567891011121314[HARGA POKOK]*Table24232567891011121314[TERJUAL])</f>
        <v>54000</v>
      </c>
      <c r="J78" s="157">
        <f>(Table24232567891011121314[HARGA JUAL]*Table24232567891011121314[TERJUAL])</f>
        <v>216000</v>
      </c>
      <c r="K78" s="157"/>
      <c r="L78" s="158"/>
      <c r="M78" s="158"/>
      <c r="N78" s="179"/>
    </row>
    <row r="79" spans="1:14" s="180" customFormat="1" x14ac:dyDescent="0.25">
      <c r="A79" s="137">
        <v>74</v>
      </c>
      <c r="B79" s="153" t="s">
        <v>71</v>
      </c>
      <c r="C79" s="153" t="s">
        <v>194</v>
      </c>
      <c r="D79" s="154">
        <v>1200</v>
      </c>
      <c r="E79" s="154">
        <v>2000</v>
      </c>
      <c r="F79" s="155"/>
      <c r="G79" s="156">
        <v>26</v>
      </c>
      <c r="H79" s="155">
        <f>(Table24232567891011121314[STOK])-(Table24232567891011121314[TERJUAL])</f>
        <v>-26</v>
      </c>
      <c r="I79" s="157">
        <f>(Table24232567891011121314[HARGA JUAL]*Table24232567891011121314[TERJUAL])-(Table24232567891011121314[HARGA POKOK]*Table24232567891011121314[TERJUAL])</f>
        <v>20800</v>
      </c>
      <c r="J79" s="157">
        <f>(Table24232567891011121314[HARGA JUAL]*Table24232567891011121314[TERJUAL])</f>
        <v>52000</v>
      </c>
      <c r="K79" s="157"/>
      <c r="L79" s="158"/>
      <c r="M79" s="158"/>
      <c r="N79" s="179"/>
    </row>
    <row r="80" spans="1:14" s="180" customFormat="1" x14ac:dyDescent="0.25">
      <c r="A80" s="137">
        <v>75</v>
      </c>
      <c r="B80" s="153" t="s">
        <v>71</v>
      </c>
      <c r="C80" s="153" t="s">
        <v>195</v>
      </c>
      <c r="D80" s="154">
        <v>700</v>
      </c>
      <c r="E80" s="154">
        <v>1500</v>
      </c>
      <c r="F80" s="155"/>
      <c r="G80" s="156">
        <v>98</v>
      </c>
      <c r="H80" s="155">
        <f>(Table24232567891011121314[STOK])-(Table24232567891011121314[TERJUAL])</f>
        <v>-98</v>
      </c>
      <c r="I80" s="157">
        <f>(Table24232567891011121314[HARGA JUAL]*Table24232567891011121314[TERJUAL])-(Table24232567891011121314[HARGA POKOK]*Table24232567891011121314[TERJUAL])</f>
        <v>78400</v>
      </c>
      <c r="J80" s="157">
        <f>(Table24232567891011121314[HARGA JUAL]*Table24232567891011121314[TERJUAL])</f>
        <v>147000</v>
      </c>
      <c r="K80" s="157"/>
      <c r="L80" s="158"/>
      <c r="M80" s="158"/>
      <c r="N80" s="179"/>
    </row>
    <row r="81" spans="1:14" s="201" customFormat="1" x14ac:dyDescent="0.25">
      <c r="A81" s="261">
        <v>76</v>
      </c>
      <c r="B81" s="256" t="s">
        <v>68</v>
      </c>
      <c r="C81" s="256" t="s">
        <v>69</v>
      </c>
      <c r="D81" s="268">
        <v>6300</v>
      </c>
      <c r="E81" s="262">
        <v>10000</v>
      </c>
      <c r="F81" s="263"/>
      <c r="G81" s="269">
        <v>1790</v>
      </c>
      <c r="H81" s="263">
        <f>(Table24232567891011121314[STOK])-(Table24232567891011121314[TERJUAL])</f>
        <v>-1790</v>
      </c>
      <c r="I81" s="265">
        <f>(Table24232567891011121314[HARGA JUAL]*Table24232567891011121314[TERJUAL])-(Table24232567891011121314[HARGA POKOK]*Table24232567891011121314[TERJUAL])</f>
        <v>6623000</v>
      </c>
      <c r="J81" s="265">
        <f>(Table24232567891011121314[HARGA JUAL]*Table24232567891011121314[TERJUAL])</f>
        <v>17900000</v>
      </c>
      <c r="K81" s="265"/>
      <c r="L81" s="266"/>
      <c r="M81" s="266"/>
      <c r="N81" s="267"/>
    </row>
    <row r="82" spans="1:14" s="180" customFormat="1" x14ac:dyDescent="0.25">
      <c r="A82" s="137">
        <v>77</v>
      </c>
      <c r="B82" s="153" t="s">
        <v>173</v>
      </c>
      <c r="C82" s="153" t="s">
        <v>174</v>
      </c>
      <c r="D82" s="159">
        <v>9040</v>
      </c>
      <c r="E82" s="154">
        <v>12000</v>
      </c>
      <c r="F82" s="155"/>
      <c r="G82" s="156">
        <v>6</v>
      </c>
      <c r="H82" s="155">
        <f>(Table24232567891011121314[STOK])-(Table24232567891011121314[TERJUAL])</f>
        <v>-6</v>
      </c>
      <c r="I82" s="157">
        <f>(Table24232567891011121314[HARGA JUAL]*Table24232567891011121314[TERJUAL])-(Table24232567891011121314[HARGA POKOK]*Table24232567891011121314[TERJUAL])</f>
        <v>17760</v>
      </c>
      <c r="J82" s="157">
        <f>(Table24232567891011121314[HARGA JUAL]*Table24232567891011121314[TERJUAL])</f>
        <v>72000</v>
      </c>
      <c r="K82" s="157"/>
      <c r="L82" s="158"/>
      <c r="M82" s="158"/>
      <c r="N82" s="179"/>
    </row>
    <row r="83" spans="1:14" s="180" customFormat="1" x14ac:dyDescent="0.25">
      <c r="A83" s="137">
        <v>78</v>
      </c>
      <c r="B83" s="153" t="s">
        <v>146</v>
      </c>
      <c r="C83" s="153" t="s">
        <v>152</v>
      </c>
      <c r="D83" s="159">
        <v>6200</v>
      </c>
      <c r="E83" s="154">
        <v>10000</v>
      </c>
      <c r="F83" s="155"/>
      <c r="G83" s="160"/>
      <c r="H83" s="155">
        <f>(Table24232567891011121314[STOK])-(Table24232567891011121314[TERJUAL])</f>
        <v>0</v>
      </c>
      <c r="I83" s="157">
        <f>(Table24232567891011121314[HARGA JUAL]*Table24232567891011121314[TERJUAL])-(Table24232567891011121314[HARGA POKOK]*Table24232567891011121314[TERJUAL])</f>
        <v>0</v>
      </c>
      <c r="J83" s="157">
        <f>(Table24232567891011121314[HARGA JUAL]*Table24232567891011121314[TERJUAL])</f>
        <v>0</v>
      </c>
      <c r="K83" s="157"/>
      <c r="L83" s="158"/>
      <c r="M83" s="158"/>
      <c r="N83" s="179"/>
    </row>
    <row r="84" spans="1:14" s="180" customFormat="1" x14ac:dyDescent="0.25">
      <c r="A84" s="137">
        <v>79</v>
      </c>
      <c r="B84" s="153" t="s">
        <v>147</v>
      </c>
      <c r="C84" s="153" t="s">
        <v>153</v>
      </c>
      <c r="D84" s="159">
        <v>5600</v>
      </c>
      <c r="E84" s="154">
        <v>10000</v>
      </c>
      <c r="F84" s="155"/>
      <c r="G84" s="160"/>
      <c r="H84" s="155">
        <f>(Table24232567891011121314[STOK])-(Table24232567891011121314[TERJUAL])</f>
        <v>0</v>
      </c>
      <c r="I84" s="157">
        <f>(Table24232567891011121314[HARGA JUAL]*Table24232567891011121314[TERJUAL])-(Table24232567891011121314[HARGA POKOK]*Table24232567891011121314[TERJUAL])</f>
        <v>0</v>
      </c>
      <c r="J84" s="157">
        <f>(Table24232567891011121314[HARGA JUAL]*Table24232567891011121314[TERJUAL])</f>
        <v>0</v>
      </c>
      <c r="K84" s="157"/>
      <c r="L84" s="158"/>
      <c r="M84" s="158"/>
      <c r="N84" s="179"/>
    </row>
    <row r="85" spans="1:14" s="180" customFormat="1" x14ac:dyDescent="0.25">
      <c r="A85" s="137">
        <v>80</v>
      </c>
      <c r="B85" s="167" t="s">
        <v>31</v>
      </c>
      <c r="C85" s="167" t="s">
        <v>282</v>
      </c>
      <c r="D85" s="168">
        <v>3000</v>
      </c>
      <c r="E85" s="169">
        <v>5000</v>
      </c>
      <c r="F85" s="170"/>
      <c r="G85" s="171">
        <v>1</v>
      </c>
      <c r="H85" s="172">
        <f>(Table24232567891011121314[STOK])-(Table24232567891011121314[TERJUAL])</f>
        <v>-1</v>
      </c>
      <c r="I85" s="173">
        <f>(Table24232567891011121314[HARGA JUAL]*Table24232567891011121314[TERJUAL])-(Table24232567891011121314[HARGA POKOK]*Table24232567891011121314[TERJUAL])</f>
        <v>2000</v>
      </c>
      <c r="J85" s="173">
        <f>(Table24232567891011121314[HARGA JUAL]*Table24232567891011121314[TERJUAL])</f>
        <v>5000</v>
      </c>
      <c r="K85" s="173"/>
      <c r="L85" s="174"/>
      <c r="M85" s="174"/>
      <c r="N85" s="181"/>
    </row>
    <row r="86" spans="1:14" s="180" customFormat="1" x14ac:dyDescent="0.25">
      <c r="A86" s="255"/>
      <c r="B86" s="167" t="s">
        <v>31</v>
      </c>
      <c r="C86" s="167" t="s">
        <v>283</v>
      </c>
      <c r="D86" s="168">
        <v>3000</v>
      </c>
      <c r="E86" s="169">
        <v>5000</v>
      </c>
      <c r="F86" s="170"/>
      <c r="G86" s="171">
        <v>1</v>
      </c>
      <c r="H86" s="172">
        <f>(Table24232567891011121314[STOK])-(Table24232567891011121314[TERJUAL])</f>
        <v>-1</v>
      </c>
      <c r="I86" s="173">
        <f>(Table24232567891011121314[HARGA JUAL]*Table24232567891011121314[TERJUAL])-(Table24232567891011121314[HARGA POKOK]*Table24232567891011121314[TERJUAL])</f>
        <v>2000</v>
      </c>
      <c r="J86" s="173">
        <f>(Table24232567891011121314[HARGA JUAL]*Table24232567891011121314[TERJUAL])</f>
        <v>5000</v>
      </c>
      <c r="K86" s="173"/>
      <c r="L86" s="174">
        <f>Table24232567891011121314[HARGA POKOK]*Table24232567891011121314[STOK]</f>
        <v>0</v>
      </c>
      <c r="M86" s="174">
        <f>Table24232567891011121314[HARGA JUAL]*Table24232567891011121314[STOK]</f>
        <v>0</v>
      </c>
      <c r="N86" s="181"/>
    </row>
    <row r="87" spans="1:14" s="180" customFormat="1" x14ac:dyDescent="0.25">
      <c r="A87" s="255"/>
      <c r="B87" s="167" t="s">
        <v>31</v>
      </c>
      <c r="C87" s="167" t="s">
        <v>284</v>
      </c>
      <c r="D87" s="168">
        <v>3000</v>
      </c>
      <c r="E87" s="169">
        <v>5000</v>
      </c>
      <c r="F87" s="170"/>
      <c r="G87" s="171">
        <v>1</v>
      </c>
      <c r="H87" s="172">
        <f>(Table24232567891011121314[STOK])-(Table24232567891011121314[TERJUAL])</f>
        <v>-1</v>
      </c>
      <c r="I87" s="173">
        <f>(Table24232567891011121314[HARGA JUAL]*Table24232567891011121314[TERJUAL])-(Table24232567891011121314[HARGA POKOK]*Table24232567891011121314[TERJUAL])</f>
        <v>2000</v>
      </c>
      <c r="J87" s="173">
        <f>(Table24232567891011121314[HARGA JUAL]*Table24232567891011121314[TERJUAL])</f>
        <v>5000</v>
      </c>
      <c r="K87" s="173"/>
      <c r="L87" s="174">
        <f>Table24232567891011121314[HARGA POKOK]*Table24232567891011121314[STOK]</f>
        <v>0</v>
      </c>
      <c r="M87" s="174">
        <f>Table24232567891011121314[HARGA JUAL]*Table24232567891011121314[STOK]</f>
        <v>0</v>
      </c>
      <c r="N87" s="181"/>
    </row>
    <row r="88" spans="1:14" ht="18.75" x14ac:dyDescent="0.25">
      <c r="A88" s="404" t="s">
        <v>8</v>
      </c>
      <c r="B88" s="404"/>
      <c r="C88" s="404"/>
      <c r="D88" s="404"/>
      <c r="E88" s="404"/>
      <c r="F88" s="39"/>
      <c r="G88" s="39"/>
      <c r="H88" s="40"/>
      <c r="I88" s="175">
        <f>SUM(I5:I87)</f>
        <v>22858660</v>
      </c>
      <c r="J88" s="176">
        <f>SUM(J5:J87)</f>
        <v>87404000</v>
      </c>
      <c r="K88" s="41">
        <f>SUBTOTAL(109,Table24232567891011121314[TOTAL HARGA SISA BARANG])</f>
        <v>160540000</v>
      </c>
      <c r="L88" s="177">
        <f>SUM(L5:L87)</f>
        <v>185527700</v>
      </c>
      <c r="M88" s="42">
        <f>SUM(M5:M68)</f>
        <v>238327000</v>
      </c>
      <c r="N88" s="145"/>
    </row>
    <row r="89" spans="1:14" x14ac:dyDescent="0.25">
      <c r="B89" s="1"/>
      <c r="C89" s="3"/>
      <c r="G89" s="1"/>
      <c r="H89" s="11"/>
      <c r="I89" s="6"/>
      <c r="J89" s="6"/>
      <c r="K89" s="6"/>
      <c r="L89" s="1"/>
      <c r="M89" s="1"/>
    </row>
    <row r="90" spans="1:14" x14ac:dyDescent="0.25">
      <c r="A90" s="165" t="s">
        <v>241</v>
      </c>
      <c r="B90" s="28"/>
      <c r="C90" s="28"/>
      <c r="E90" s="386" t="s">
        <v>285</v>
      </c>
      <c r="F90" s="386"/>
      <c r="G90" s="386"/>
      <c r="H90" s="386"/>
      <c r="I90" s="386"/>
      <c r="J90" s="386"/>
      <c r="K90" s="254"/>
      <c r="L90" s="1"/>
      <c r="M90" s="1"/>
    </row>
    <row r="91" spans="1:14" x14ac:dyDescent="0.25">
      <c r="A91" s="165" t="s">
        <v>198</v>
      </c>
      <c r="B91" s="28"/>
      <c r="C91" s="28"/>
      <c r="E91" s="161"/>
      <c r="F91" s="161"/>
      <c r="G91" s="387"/>
      <c r="H91" s="387"/>
      <c r="I91" s="28"/>
      <c r="J91" s="28"/>
      <c r="K91" s="28"/>
      <c r="L91" s="7"/>
    </row>
    <row r="92" spans="1:14" x14ac:dyDescent="0.25">
      <c r="A92" s="165" t="s">
        <v>199</v>
      </c>
      <c r="B92" s="1"/>
      <c r="C92" s="3"/>
      <c r="E92" s="161"/>
      <c r="F92" s="161"/>
      <c r="G92" s="94"/>
      <c r="H92" s="94"/>
      <c r="I92" s="28"/>
      <c r="J92" s="28"/>
      <c r="K92" s="28"/>
      <c r="L92" s="28"/>
    </row>
    <row r="93" spans="1:14" x14ac:dyDescent="0.25">
      <c r="A93" s="165" t="s">
        <v>200</v>
      </c>
      <c r="E93" s="43" t="s">
        <v>82</v>
      </c>
      <c r="F93" s="44"/>
      <c r="G93" s="390">
        <f>SUBTOTAL(109,Table24232567891011121314[TOTAL H. B. LAKU TERJUAL])</f>
        <v>87404000</v>
      </c>
      <c r="H93" s="390"/>
      <c r="I93" s="390"/>
      <c r="J93" s="43"/>
      <c r="K93" s="7"/>
      <c r="L93" s="27"/>
      <c r="M93" s="1"/>
    </row>
    <row r="94" spans="1:14" x14ac:dyDescent="0.25">
      <c r="A94" s="165"/>
      <c r="C94" s="1"/>
      <c r="E94" s="43"/>
      <c r="F94" s="44"/>
      <c r="G94" s="253"/>
      <c r="H94" s="253"/>
      <c r="I94" s="253"/>
      <c r="J94" s="43"/>
      <c r="K94" s="7"/>
      <c r="L94" s="27"/>
      <c r="M94" s="1"/>
    </row>
    <row r="95" spans="1:14" x14ac:dyDescent="0.25">
      <c r="A95" s="407" t="s">
        <v>0</v>
      </c>
      <c r="B95" s="406" t="s">
        <v>275</v>
      </c>
      <c r="C95" s="406"/>
      <c r="E95" s="43" t="s">
        <v>83</v>
      </c>
      <c r="F95" s="45" t="s">
        <v>84</v>
      </c>
      <c r="G95" s="391">
        <v>2442000</v>
      </c>
      <c r="H95" s="391"/>
      <c r="I95" s="391"/>
      <c r="J95" s="43"/>
      <c r="K95" s="7"/>
      <c r="L95" s="27"/>
      <c r="M95" s="1"/>
    </row>
    <row r="96" spans="1:14" x14ac:dyDescent="0.25">
      <c r="A96" s="407"/>
      <c r="B96" s="225" t="s">
        <v>276</v>
      </c>
      <c r="C96" s="228" t="s">
        <v>277</v>
      </c>
      <c r="E96" s="43" t="s">
        <v>8</v>
      </c>
      <c r="F96" s="43"/>
      <c r="G96" s="392">
        <f>(G93-G95)</f>
        <v>84962000</v>
      </c>
      <c r="H96" s="392"/>
      <c r="I96" s="392"/>
      <c r="J96" s="43"/>
      <c r="K96" s="7"/>
      <c r="L96" s="27"/>
      <c r="M96" s="1"/>
    </row>
    <row r="97" spans="1:13" x14ac:dyDescent="0.25">
      <c r="A97" s="145"/>
      <c r="B97" s="228">
        <v>90</v>
      </c>
      <c r="C97" s="228">
        <v>41</v>
      </c>
      <c r="M97" s="1"/>
    </row>
    <row r="98" spans="1:13" x14ac:dyDescent="0.25">
      <c r="A98" s="165"/>
      <c r="C98" s="1"/>
      <c r="M98" s="1"/>
    </row>
    <row r="99" spans="1:13" ht="18.75" x14ac:dyDescent="0.3">
      <c r="A99" s="360" t="s">
        <v>99</v>
      </c>
      <c r="B99" s="360"/>
      <c r="C99" s="360"/>
      <c r="D99" s="360"/>
    </row>
    <row r="100" spans="1:13" ht="18.75" x14ac:dyDescent="0.3">
      <c r="A100" s="360" t="s">
        <v>286</v>
      </c>
      <c r="B100" s="360"/>
      <c r="C100" s="360"/>
      <c r="D100" s="360"/>
    </row>
    <row r="101" spans="1:13" ht="18.75" x14ac:dyDescent="0.3">
      <c r="A101" s="360" t="s">
        <v>75</v>
      </c>
      <c r="B101" s="360"/>
      <c r="C101" s="360"/>
      <c r="D101" s="360"/>
    </row>
    <row r="102" spans="1:13" ht="15.75" x14ac:dyDescent="0.25">
      <c r="A102" s="356" t="s">
        <v>111</v>
      </c>
      <c r="B102" s="357"/>
      <c r="C102" s="356" t="s">
        <v>77</v>
      </c>
      <c r="D102" s="357"/>
      <c r="E102" s="7"/>
    </row>
    <row r="103" spans="1:13" ht="15.75" x14ac:dyDescent="0.25">
      <c r="A103" s="251" t="s">
        <v>103</v>
      </c>
      <c r="B103" s="252"/>
      <c r="C103" s="46"/>
      <c r="D103" s="203">
        <v>84962000</v>
      </c>
      <c r="E103" s="218"/>
    </row>
    <row r="104" spans="1:13" ht="15.75" x14ac:dyDescent="0.25">
      <c r="A104" s="354" t="s">
        <v>102</v>
      </c>
      <c r="B104" s="355"/>
      <c r="C104" s="46"/>
      <c r="D104" s="204"/>
      <c r="E104" s="219"/>
    </row>
    <row r="105" spans="1:13" ht="15.75" x14ac:dyDescent="0.25">
      <c r="A105" s="356" t="s">
        <v>104</v>
      </c>
      <c r="B105" s="357"/>
      <c r="C105" s="46"/>
      <c r="D105" s="203"/>
      <c r="E105" s="219"/>
    </row>
    <row r="106" spans="1:13" ht="15.75" x14ac:dyDescent="0.25">
      <c r="A106" s="350" t="s">
        <v>106</v>
      </c>
      <c r="B106" s="351"/>
      <c r="C106" s="46"/>
      <c r="D106" s="204">
        <v>61998340</v>
      </c>
      <c r="E106" s="219"/>
      <c r="F106" s="220"/>
      <c r="G106" s="220"/>
      <c r="H106" s="221"/>
      <c r="I106" s="222"/>
    </row>
    <row r="107" spans="1:13" ht="15.75" x14ac:dyDescent="0.25">
      <c r="A107" s="358" t="s">
        <v>161</v>
      </c>
      <c r="B107" s="359"/>
      <c r="C107" s="49"/>
      <c r="D107" s="205">
        <f>(D103-D106)</f>
        <v>22963660</v>
      </c>
      <c r="E107" s="218"/>
      <c r="F107" s="223"/>
      <c r="G107" s="223"/>
      <c r="H107" s="224"/>
      <c r="I107" s="224"/>
    </row>
    <row r="108" spans="1:13" ht="15.75" x14ac:dyDescent="0.25">
      <c r="A108" s="400" t="s">
        <v>162</v>
      </c>
      <c r="B108" s="401"/>
      <c r="C108" s="49"/>
      <c r="D108" s="205">
        <f>SUM(D107:D107)</f>
        <v>22963660</v>
      </c>
      <c r="F108" s="7"/>
      <c r="G108" s="7"/>
      <c r="I108" s="186"/>
      <c r="L108" s="183"/>
    </row>
    <row r="109" spans="1:13" ht="15.75" x14ac:dyDescent="0.25">
      <c r="A109" s="346" t="s">
        <v>105</v>
      </c>
      <c r="B109" s="347"/>
      <c r="C109" s="46"/>
      <c r="D109" s="207"/>
      <c r="I109" s="186"/>
      <c r="L109" s="183"/>
    </row>
    <row r="110" spans="1:13" ht="15.75" x14ac:dyDescent="0.25">
      <c r="A110" s="348" t="s">
        <v>97</v>
      </c>
      <c r="B110" s="349"/>
      <c r="C110" s="46">
        <v>2000000</v>
      </c>
      <c r="D110" s="204"/>
      <c r="I110" s="187"/>
      <c r="L110" s="183"/>
    </row>
    <row r="111" spans="1:13" ht="15.75" x14ac:dyDescent="0.25">
      <c r="A111" s="350" t="s">
        <v>98</v>
      </c>
      <c r="B111" s="351"/>
      <c r="C111" s="46">
        <v>520000</v>
      </c>
      <c r="D111" s="204"/>
      <c r="L111" s="183"/>
    </row>
    <row r="112" spans="1:13" ht="15.75" x14ac:dyDescent="0.25">
      <c r="A112" s="350" t="s">
        <v>287</v>
      </c>
      <c r="B112" s="351"/>
      <c r="C112" s="46">
        <v>100000</v>
      </c>
      <c r="D112" s="204"/>
      <c r="L112" s="183"/>
    </row>
    <row r="113" spans="1:12" ht="15.75" x14ac:dyDescent="0.25">
      <c r="A113" s="350" t="s">
        <v>289</v>
      </c>
      <c r="B113" s="351"/>
      <c r="C113" s="46">
        <v>45000</v>
      </c>
      <c r="D113" s="204"/>
      <c r="L113" s="183"/>
    </row>
    <row r="114" spans="1:12" ht="15.75" x14ac:dyDescent="0.25">
      <c r="A114" s="408" t="s">
        <v>288</v>
      </c>
      <c r="B114" s="409"/>
      <c r="C114" s="114">
        <v>366000</v>
      </c>
      <c r="D114" s="208"/>
    </row>
    <row r="115" spans="1:12" ht="15.75" x14ac:dyDescent="0.25">
      <c r="A115" s="352" t="s">
        <v>107</v>
      </c>
      <c r="B115" s="353"/>
      <c r="C115" s="51" t="s">
        <v>117</v>
      </c>
      <c r="D115" s="209">
        <f>SUM(C110:C114)</f>
        <v>3031000</v>
      </c>
    </row>
    <row r="116" spans="1:12" ht="15.75" x14ac:dyDescent="0.25">
      <c r="A116" s="344" t="s">
        <v>108</v>
      </c>
      <c r="B116" s="345"/>
      <c r="C116" s="51"/>
      <c r="D116" s="204"/>
    </row>
    <row r="117" spans="1:12" ht="15.75" x14ac:dyDescent="0.25">
      <c r="A117" s="346" t="s">
        <v>109</v>
      </c>
      <c r="B117" s="347"/>
      <c r="C117" s="48"/>
      <c r="D117" s="205">
        <f>(D108-D115)</f>
        <v>19932660</v>
      </c>
    </row>
  </sheetData>
  <mergeCells count="29">
    <mergeCell ref="A112:B112"/>
    <mergeCell ref="A115:B115"/>
    <mergeCell ref="A116:B116"/>
    <mergeCell ref="A117:B117"/>
    <mergeCell ref="A114:B114"/>
    <mergeCell ref="A113:B113"/>
    <mergeCell ref="A111:B111"/>
    <mergeCell ref="A101:D101"/>
    <mergeCell ref="A102:B102"/>
    <mergeCell ref="C102:D102"/>
    <mergeCell ref="A104:B104"/>
    <mergeCell ref="A105:B105"/>
    <mergeCell ref="A106:B106"/>
    <mergeCell ref="A107:B107"/>
    <mergeCell ref="A108:B108"/>
    <mergeCell ref="A109:B109"/>
    <mergeCell ref="A110:B110"/>
    <mergeCell ref="A100:D100"/>
    <mergeCell ref="A1:N1"/>
    <mergeCell ref="A2:N2"/>
    <mergeCell ref="A88:E88"/>
    <mergeCell ref="E90:J90"/>
    <mergeCell ref="G91:H91"/>
    <mergeCell ref="G93:I93"/>
    <mergeCell ref="A95:A96"/>
    <mergeCell ref="B95:C95"/>
    <mergeCell ref="G95:I95"/>
    <mergeCell ref="G96:I96"/>
    <mergeCell ref="A99:D99"/>
  </mergeCells>
  <pageMargins left="0.7" right="0.7" top="0.75" bottom="0.75" header="0.3" footer="0.3"/>
  <pageSetup paperSize="9" scale="55" fitToHeight="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9"/>
  <sheetViews>
    <sheetView topLeftCell="A115" workbookViewId="0">
      <selection activeCell="A134" sqref="A134:C139"/>
    </sheetView>
  </sheetViews>
  <sheetFormatPr defaultRowHeight="15" x14ac:dyDescent="0.25"/>
  <cols>
    <col min="1" max="1" width="6.140625" customWidth="1"/>
    <col min="2" max="2" width="23.42578125" customWidth="1"/>
    <col min="3" max="3" width="28" customWidth="1"/>
    <col min="4" max="4" width="18.5703125" customWidth="1"/>
    <col min="5" max="5" width="15.42578125" customWidth="1"/>
    <col min="6" max="6" width="8" customWidth="1"/>
    <col min="7" max="7" width="11.85546875" customWidth="1"/>
    <col min="8" max="8" width="1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291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s="250" customFormat="1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271">
        <v>234</v>
      </c>
      <c r="G5" s="142">
        <v>18</v>
      </c>
      <c r="H5" s="141">
        <f>(Table2423256789101112131415[[#This Row],[STOK]]-Table2423256789101112131415[[#This Row],[TERJUAL]])</f>
        <v>216</v>
      </c>
      <c r="I5" s="143">
        <f>(Table2423256789101112131415[HARGA JUAL]*Table2423256789101112131415[TERJUAL])-(Table2423256789101112131415[HARGA POKOK]*Table2423256789101112131415[TERJUAL])</f>
        <v>396000</v>
      </c>
      <c r="J5" s="143">
        <f>(Table2423256789101112131415[HARGA JUAL]*Table2423256789101112131415[TERJUAL])</f>
        <v>1746000</v>
      </c>
      <c r="K5" s="143">
        <f>Table2423256789101112131415[HARGA JUAL]*Table2423256789101112131415[SISA]</f>
        <v>20952000</v>
      </c>
      <c r="L5" s="144">
        <f>Table2423256789101112131415[HARGA POKOK]*Table2423256789101112131415[STOK]</f>
        <v>17550000</v>
      </c>
      <c r="M5" s="144">
        <f>Table2423256789101112131415[HARGA JUAL]*Table2423256789101112131415[STOK]</f>
        <v>22698000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270">
        <v>145</v>
      </c>
      <c r="G6" s="142">
        <v>23</v>
      </c>
      <c r="H6" s="141">
        <f>(Table2423256789101112131415[[#This Row],[STOK]]-Table2423256789101112131415[[#This Row],[TERJUAL]])</f>
        <v>122</v>
      </c>
      <c r="I6" s="143">
        <f>(Table2423256789101112131415[HARGA JUAL]*Table2423256789101112131415[TERJUAL])-(Table2423256789101112131415[HARGA POKOK]*Table2423256789101112131415[TERJUAL])</f>
        <v>460000</v>
      </c>
      <c r="J6" s="143">
        <f>(Table2423256789101112131415[HARGA JUAL]*Table2423256789101112131415[TERJUAL])</f>
        <v>1840000</v>
      </c>
      <c r="K6" s="143">
        <f>Table2423256789101112131415[HARGA JUAL]*Table2423256789101112131415[SISA]</f>
        <v>9760000</v>
      </c>
      <c r="L6" s="144">
        <f>Table2423256789101112131415[HARGA POKOK]*Table2423256789101112131415[STOK]</f>
        <v>8700000</v>
      </c>
      <c r="M6" s="144">
        <f>Table2423256789101112131415[HARGA JUAL]*Table2423256789101112131415[STOK]</f>
        <v>11600000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52500</v>
      </c>
      <c r="E7" s="140">
        <v>70000</v>
      </c>
      <c r="F7" s="141"/>
      <c r="G7" s="142"/>
      <c r="H7" s="141">
        <f>(Table2423256789101112131415[[#This Row],[STOK]]-Table2423256789101112131415[[#This Row],[TERJUAL]])</f>
        <v>0</v>
      </c>
      <c r="I7" s="143">
        <f>(Table2423256789101112131415[HARGA JUAL]*Table2423256789101112131415[TERJUAL])-(Table2423256789101112131415[HARGA POKOK]*Table2423256789101112131415[TERJUAL])</f>
        <v>0</v>
      </c>
      <c r="J7" s="143">
        <f>(Table2423256789101112131415[HARGA JUAL]*Table2423256789101112131415[TERJUAL])</f>
        <v>0</v>
      </c>
      <c r="K7" s="143">
        <f>Table2423256789101112131415[HARGA JUAL]*Table2423256789101112131415[SISA]</f>
        <v>0</v>
      </c>
      <c r="L7" s="144">
        <f>Table2423256789101112131415[HARGA POKOK]*Table2423256789101112131415[STOK]</f>
        <v>0</v>
      </c>
      <c r="M7" s="144">
        <f>Table2423256789101112131415[HARGA JUAL]*Table2423256789101112131415[STOK]</f>
        <v>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175</v>
      </c>
      <c r="G8" s="142">
        <v>56</v>
      </c>
      <c r="H8" s="141">
        <f>(Table2423256789101112131415[[#This Row],[STOK]]-Table2423256789101112131415[[#This Row],[TERJUAL]])</f>
        <v>119</v>
      </c>
      <c r="I8" s="143">
        <f>(Table2423256789101112131415[HARGA JUAL]*Table2423256789101112131415[TERJUAL])-(Table2423256789101112131415[HARGA POKOK]*Table2423256789101112131415[TERJUAL])</f>
        <v>924000</v>
      </c>
      <c r="J8" s="143">
        <f>(Table2423256789101112131415[HARGA JUAL]*Table2423256789101112131415[TERJUAL])</f>
        <v>4592000</v>
      </c>
      <c r="K8" s="143">
        <f>Table2423256789101112131415[HARGA JUAL]*Table2423256789101112131415[SISA]</f>
        <v>9758000</v>
      </c>
      <c r="L8" s="144">
        <f>Table2423256789101112131415[HARGA POKOK]*Table2423256789101112131415[STOK]</f>
        <v>11462500</v>
      </c>
      <c r="M8" s="144">
        <f>Table2423256789101112131415[HARGA JUAL]*Table2423256789101112131415[STOK]</f>
        <v>14350000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211</v>
      </c>
      <c r="G9" s="142">
        <v>16</v>
      </c>
      <c r="H9" s="141">
        <f>(Table2423256789101112131415[[#This Row],[STOK]]-Table2423256789101112131415[[#This Row],[TERJUAL]])</f>
        <v>195</v>
      </c>
      <c r="I9" s="143">
        <f>(Table2423256789101112131415[HARGA JUAL]*Table2423256789101112131415[TERJUAL])-(Table2423256789101112131415[HARGA POKOK]*Table2423256789101112131415[TERJUAL])</f>
        <v>344000</v>
      </c>
      <c r="J9" s="143">
        <f>(Table2423256789101112131415[HARGA JUAL]*Table2423256789101112131415[TERJUAL])</f>
        <v>1280000</v>
      </c>
      <c r="K9" s="143">
        <f>Table2423256789101112131415[HARGA JUAL]*Table2423256789101112131415[SISA]</f>
        <v>15600000</v>
      </c>
      <c r="L9" s="144">
        <f>Table2423256789101112131415[HARGA POKOK]*Table2423256789101112131415[STOK]</f>
        <v>12343500</v>
      </c>
      <c r="M9" s="144">
        <f>Table2423256789101112131415[HARGA JUAL]*Table2423256789101112131415[STOK]</f>
        <v>16880000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22</v>
      </c>
      <c r="G10" s="142">
        <v>3</v>
      </c>
      <c r="H10" s="141">
        <f>(Table2423256789101112131415[[#This Row],[STOK]]-Table2423256789101112131415[[#This Row],[TERJUAL]])</f>
        <v>19</v>
      </c>
      <c r="I10" s="143">
        <f>(Table2423256789101112131415[HARGA JUAL]*Table2423256789101112131415[TERJUAL])-(Table2423256789101112131415[HARGA POKOK]*Table2423256789101112131415[TERJUAL])</f>
        <v>79500</v>
      </c>
      <c r="J10" s="143">
        <f>(Table2423256789101112131415[HARGA JUAL]*Table2423256789101112131415[TERJUAL])</f>
        <v>330000</v>
      </c>
      <c r="K10" s="143">
        <f>Table2423256789101112131415[HARGA JUAL]*Table2423256789101112131415[SISA]</f>
        <v>2090000</v>
      </c>
      <c r="L10" s="144">
        <f>Table2423256789101112131415[HARGA POKOK]*Table2423256789101112131415[STOK]</f>
        <v>1837000</v>
      </c>
      <c r="M10" s="144">
        <f>Table2423256789101112131415[HARGA JUAL]*Table2423256789101112131415[STOK]</f>
        <v>2420000</v>
      </c>
      <c r="N10" s="145"/>
    </row>
    <row r="11" spans="1:14" x14ac:dyDescent="0.25">
      <c r="A11" s="137">
        <v>7</v>
      </c>
      <c r="B11" s="138" t="s">
        <v>28</v>
      </c>
      <c r="C11" s="138" t="s">
        <v>38</v>
      </c>
      <c r="D11" s="140">
        <v>88500</v>
      </c>
      <c r="E11" s="140">
        <v>50000</v>
      </c>
      <c r="F11" s="141">
        <v>12</v>
      </c>
      <c r="G11" s="142">
        <v>1</v>
      </c>
      <c r="H11" s="141">
        <f>(Table2423256789101112131415[[#This Row],[STOK]]-Table2423256789101112131415[[#This Row],[TERJUAL]])</f>
        <v>11</v>
      </c>
      <c r="I11" s="143">
        <f>(Table2423256789101112131415[HARGA JUAL]*Table2423256789101112131415[TERJUAL])-(Table2423256789101112131415[HARGA POKOK]*Table2423256789101112131415[TERJUAL])</f>
        <v>-38500</v>
      </c>
      <c r="J11" s="143">
        <f>(Table2423256789101112131415[HARGA JUAL]*Table2423256789101112131415[TERJUAL])</f>
        <v>50000</v>
      </c>
      <c r="K11" s="143">
        <f>Table2423256789101112131415[HARGA JUAL]*Table2423256789101112131415[SISA]</f>
        <v>550000</v>
      </c>
      <c r="L11" s="144">
        <f>Table2423256789101112131415[HARGA POKOK]*Table2423256789101112131415[STOK]</f>
        <v>1062000</v>
      </c>
      <c r="M11" s="144">
        <f>Table2423256789101112131415[HARGA JUAL]*Table2423256789101112131415[STOK]</f>
        <v>600000</v>
      </c>
      <c r="N11" s="145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68</v>
      </c>
      <c r="G12" s="142">
        <v>6</v>
      </c>
      <c r="H12" s="141">
        <f>(Table2423256789101112131415[[#This Row],[STOK]]-Table2423256789101112131415[[#This Row],[TERJUAL]])</f>
        <v>62</v>
      </c>
      <c r="I12" s="143">
        <f>(Table2423256789101112131415[HARGA JUAL]*Table2423256789101112131415[TERJUAL])-(Table2423256789101112131415[HARGA POKOK]*Table2423256789101112131415[TERJUAL])</f>
        <v>36000</v>
      </c>
      <c r="J12" s="143">
        <f>(Table2423256789101112131415[HARGA JUAL]*Table2423256789101112131415[TERJUAL])</f>
        <v>540000</v>
      </c>
      <c r="K12" s="143">
        <f>Table2423256789101112131415[HARGA JUAL]*Table2423256789101112131415[SISA]</f>
        <v>5580000</v>
      </c>
      <c r="L12" s="144">
        <f>Table2423256789101112131415[HARGA POKOK]*Table2423256789101112131415[STOK]</f>
        <v>5712000</v>
      </c>
      <c r="M12" s="144">
        <f>Table2423256789101112131415[HARGA JUAL]*Table2423256789101112131415[STOK]</f>
        <v>6120000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15</v>
      </c>
      <c r="G13" s="142">
        <v>4</v>
      </c>
      <c r="H13" s="141">
        <f>(Table2423256789101112131415[[#This Row],[STOK]]-Table2423256789101112131415[[#This Row],[TERJUAL]])</f>
        <v>11</v>
      </c>
      <c r="I13" s="143">
        <f>(Table2423256789101112131415[HARGA JUAL]*Table2423256789101112131415[TERJUAL])-(Table2423256789101112131415[HARGA POKOK]*Table2423256789101112131415[TERJUAL])</f>
        <v>86000</v>
      </c>
      <c r="J13" s="143">
        <f>(Table2423256789101112131415[HARGA JUAL]*Table2423256789101112131415[TERJUAL])</f>
        <v>720000</v>
      </c>
      <c r="K13" s="143">
        <f>Table2423256789101112131415[HARGA JUAL]*Table2423256789101112131415[SISA]</f>
        <v>1980000</v>
      </c>
      <c r="L13" s="144">
        <f>Table2423256789101112131415[HARGA POKOK]*Table2423256789101112131415[STOK]</f>
        <v>2377500</v>
      </c>
      <c r="M13" s="144">
        <f>Table2423256789101112131415[HARGA JUAL]*Table2423256789101112131415[STOK]</f>
        <v>2700000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150000</v>
      </c>
      <c r="F14" s="141">
        <v>33</v>
      </c>
      <c r="G14" s="142">
        <v>2</v>
      </c>
      <c r="H14" s="141">
        <f>(Table2423256789101112131415[[#This Row],[STOK]]-Table2423256789101112131415[[#This Row],[TERJUAL]])</f>
        <v>31</v>
      </c>
      <c r="I14" s="143">
        <f>(Table2423256789101112131415[HARGA JUAL]*Table2423256789101112131415[TERJUAL])-(Table2423256789101112131415[HARGA POKOK]*Table2423256789101112131415[TERJUAL])</f>
        <v>34000</v>
      </c>
      <c r="J14" s="143">
        <f>(Table2423256789101112131415[HARGA JUAL]*Table2423256789101112131415[TERJUAL])</f>
        <v>300000</v>
      </c>
      <c r="K14" s="143">
        <f>Table2423256789101112131415[HARGA JUAL]*Table2423256789101112131415[SISA]</f>
        <v>4650000</v>
      </c>
      <c r="L14" s="144">
        <f>Table2423256789101112131415[HARGA POKOK]*Table2423256789101112131415[STOK]</f>
        <v>4389000</v>
      </c>
      <c r="M14" s="144">
        <f>Table2423256789101112131415[HARGA JUAL]*Table2423256789101112131415[STOK]</f>
        <v>4950000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0</v>
      </c>
      <c r="G15" s="142"/>
      <c r="H15" s="141">
        <f>(Table2423256789101112131415[[#This Row],[STOK]]-Table2423256789101112131415[[#This Row],[TERJUAL]])</f>
        <v>0</v>
      </c>
      <c r="I15" s="143">
        <f>(Table2423256789101112131415[HARGA JUAL]*Table2423256789101112131415[TERJUAL])-(Table2423256789101112131415[HARGA POKOK]*Table2423256789101112131415[TERJUAL])</f>
        <v>0</v>
      </c>
      <c r="J15" s="143">
        <f>(Table2423256789101112131415[HARGA JUAL]*Table2423256789101112131415[TERJUAL])</f>
        <v>0</v>
      </c>
      <c r="K15" s="143">
        <f>Table2423256789101112131415[HARGA JUAL]*Table2423256789101112131415[SISA]</f>
        <v>0</v>
      </c>
      <c r="L15" s="144">
        <f>Table2423256789101112131415[HARGA POKOK]*Table2423256789101112131415[STOK]</f>
        <v>0</v>
      </c>
      <c r="M15" s="144">
        <f>Table2423256789101112131415[HARGA JUAL]*Table2423256789101112131415[STOK]</f>
        <v>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4</v>
      </c>
      <c r="G16" s="142">
        <v>4</v>
      </c>
      <c r="H16" s="141">
        <f>(Table2423256789101112131415[[#This Row],[STOK]]-Table2423256789101112131415[[#This Row],[TERJUAL]])</f>
        <v>0</v>
      </c>
      <c r="I16" s="143">
        <f>(Table2423256789101112131415[HARGA JUAL]*Table2423256789101112131415[TERJUAL])-(Table2423256789101112131415[HARGA POKOK]*Table2423256789101112131415[TERJUAL])</f>
        <v>110000</v>
      </c>
      <c r="J16" s="143">
        <f>(Table2423256789101112131415[HARGA JUAL]*Table2423256789101112131415[TERJUAL])</f>
        <v>400000</v>
      </c>
      <c r="K16" s="143">
        <f>Table2423256789101112131415[HARGA JUAL]*Table2423256789101112131415[SISA]</f>
        <v>0</v>
      </c>
      <c r="L16" s="144">
        <f>Table2423256789101112131415[HARGA POKOK]*Table2423256789101112131415[STOK]</f>
        <v>290000</v>
      </c>
      <c r="M16" s="144">
        <f>Table2423256789101112131415[HARGA JUAL]*Table2423256789101112131415[STOK]</f>
        <v>400000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51</v>
      </c>
      <c r="G17" s="142"/>
      <c r="H17" s="141">
        <f>(Table2423256789101112131415[[#This Row],[STOK]]-Table2423256789101112131415[[#This Row],[TERJUAL]])</f>
        <v>51</v>
      </c>
      <c r="I17" s="143">
        <f>(Table2423256789101112131415[HARGA JUAL]*Table2423256789101112131415[TERJUAL])-(Table2423256789101112131415[HARGA POKOK]*Table2423256789101112131415[TERJUAL])</f>
        <v>0</v>
      </c>
      <c r="J17" s="143">
        <f>(Table2423256789101112131415[HARGA JUAL]*Table2423256789101112131415[TERJUAL])</f>
        <v>0</v>
      </c>
      <c r="K17" s="143">
        <f>Table2423256789101112131415[HARGA JUAL]*Table2423256789101112131415[SISA]</f>
        <v>4335000</v>
      </c>
      <c r="L17" s="144">
        <f>Table2423256789101112131415[HARGA POKOK]*Table2423256789101112131415[STOK]</f>
        <v>3366000</v>
      </c>
      <c r="M17" s="144">
        <f>Table2423256789101112131415[HARGA JUAL]*Table2423256789101112131415[STOK]</f>
        <v>4335000</v>
      </c>
      <c r="N17" s="145" t="s">
        <v>292</v>
      </c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558</v>
      </c>
      <c r="G18" s="142">
        <v>8</v>
      </c>
      <c r="H18" s="141">
        <f>(Table2423256789101112131415[[#This Row],[STOK]]-Table2423256789101112131415[[#This Row],[TERJUAL]])</f>
        <v>550</v>
      </c>
      <c r="I18" s="143">
        <f>(Table2423256789101112131415[HARGA JUAL]*Table2423256789101112131415[TERJUAL])-(Table2423256789101112131415[HARGA POKOK]*Table2423256789101112131415[TERJUAL])</f>
        <v>20000</v>
      </c>
      <c r="J18" s="143">
        <f>(Table2423256789101112131415[HARGA JUAL]*Table2423256789101112131415[TERJUAL])</f>
        <v>200000</v>
      </c>
      <c r="K18" s="143">
        <f>Table2423256789101112131415[HARGA JUAL]*Table2423256789101112131415[SISA]</f>
        <v>13750000</v>
      </c>
      <c r="L18" s="144">
        <f>Table2423256789101112131415[HARGA POKOK]*Table2423256789101112131415[STOK]</f>
        <v>12555000</v>
      </c>
      <c r="M18" s="144">
        <f>Table2423256789101112131415[HARGA JUAL]*Table2423256789101112131415[STOK]</f>
        <v>13950000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30</v>
      </c>
      <c r="G19" s="142">
        <v>6</v>
      </c>
      <c r="H19" s="141">
        <f>(Table2423256789101112131415[[#This Row],[STOK]]-Table2423256789101112131415[[#This Row],[TERJUAL]])</f>
        <v>24</v>
      </c>
      <c r="I19" s="143">
        <f>(Table2423256789101112131415[HARGA JUAL]*Table2423256789101112131415[TERJUAL])-(Table2423256789101112131415[HARGA POKOK]*Table2423256789101112131415[TERJUAL])</f>
        <v>144000</v>
      </c>
      <c r="J19" s="143">
        <f>(Table2423256789101112131415[HARGA JUAL]*Table2423256789101112131415[TERJUAL])</f>
        <v>480000</v>
      </c>
      <c r="K19" s="143">
        <f>Table2423256789101112131415[HARGA JUAL]*Table2423256789101112131415[SISA]</f>
        <v>1920000</v>
      </c>
      <c r="L19" s="144">
        <f>Table2423256789101112131415[HARGA POKOK]*Table2423256789101112131415[STOK]</f>
        <v>1680000</v>
      </c>
      <c r="M19" s="144">
        <f>Table2423256789101112131415[HARGA JUAL]*Table2423256789101112131415[STOK]</f>
        <v>2400000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8</v>
      </c>
      <c r="G20" s="142">
        <v>4</v>
      </c>
      <c r="H20" s="141">
        <f>(Table2423256789101112131415[[#This Row],[STOK]]-Table2423256789101112131415[[#This Row],[TERJUAL]])</f>
        <v>4</v>
      </c>
      <c r="I20" s="143">
        <f>(Table2423256789101112131415[HARGA JUAL]*Table2423256789101112131415[TERJUAL])-(Table2423256789101112131415[HARGA POKOK]*Table2423256789101112131415[TERJUAL])</f>
        <v>80000</v>
      </c>
      <c r="J20" s="143">
        <f>(Table2423256789101112131415[HARGA JUAL]*Table2423256789101112131415[TERJUAL])</f>
        <v>240000</v>
      </c>
      <c r="K20" s="143">
        <f>Table2423256789101112131415[HARGA JUAL]*Table2423256789101112131415[SISA]</f>
        <v>240000</v>
      </c>
      <c r="L20" s="144">
        <f>Table2423256789101112131415[HARGA POKOK]*Table2423256789101112131415[STOK]</f>
        <v>320000</v>
      </c>
      <c r="M20" s="144">
        <f>Table2423256789101112131415[HARGA JUAL]*Table2423256789101112131415[STOK]</f>
        <v>480000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80</v>
      </c>
      <c r="G21" s="142">
        <v>1</v>
      </c>
      <c r="H21" s="141">
        <f>(Table2423256789101112131415[[#This Row],[STOK]]-Table2423256789101112131415[[#This Row],[TERJUAL]])</f>
        <v>79</v>
      </c>
      <c r="I21" s="143">
        <f>(Table2423256789101112131415[HARGA JUAL]*Table2423256789101112131415[TERJUAL])-(Table2423256789101112131415[HARGA POKOK]*Table2423256789101112131415[TERJUAL])</f>
        <v>11500</v>
      </c>
      <c r="J21" s="143">
        <f>(Table2423256789101112131415[HARGA JUAL]*Table2423256789101112131415[TERJUAL])</f>
        <v>22000</v>
      </c>
      <c r="K21" s="143">
        <f>Table2423256789101112131415[HARGA JUAL]*Table2423256789101112131415[SISA]</f>
        <v>1738000</v>
      </c>
      <c r="L21" s="144">
        <f>Table2423256789101112131415[HARGA POKOK]*Table2423256789101112131415[STOK]</f>
        <v>840000</v>
      </c>
      <c r="M21" s="144">
        <f>Table2423256789101112131415[HARGA JUAL]*Table2423256789101112131415[STOK]</f>
        <v>1760000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56</v>
      </c>
      <c r="G22" s="142">
        <v>3</v>
      </c>
      <c r="H22" s="141">
        <f>(Table2423256789101112131415[[#This Row],[STOK]]-Table2423256789101112131415[[#This Row],[TERJUAL]])</f>
        <v>53</v>
      </c>
      <c r="I22" s="143">
        <f>(Table2423256789101112131415[HARGA JUAL]*Table2423256789101112131415[TERJUAL])-(Table2423256789101112131415[HARGA POKOK]*Table2423256789101112131415[TERJUAL])</f>
        <v>60000</v>
      </c>
      <c r="J22" s="143">
        <f>(Table2423256789101112131415[HARGA JUAL]*Table2423256789101112131415[TERJUAL])</f>
        <v>240000</v>
      </c>
      <c r="K22" s="143">
        <f>Table2423256789101112131415[HARGA JUAL]*Table2423256789101112131415[SISA]</f>
        <v>4240000</v>
      </c>
      <c r="L22" s="144">
        <f>Table2423256789101112131415[HARGA POKOK]*Table2423256789101112131415[STOK]</f>
        <v>3360000</v>
      </c>
      <c r="M22" s="144">
        <f>Table2423256789101112131415[HARGA JUAL]*Table2423256789101112131415[STOK]</f>
        <v>4480000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78</v>
      </c>
      <c r="G23" s="142">
        <v>4</v>
      </c>
      <c r="H23" s="141">
        <f>(Table2423256789101112131415[[#This Row],[STOK]]-Table2423256789101112131415[[#This Row],[TERJUAL]])</f>
        <v>74</v>
      </c>
      <c r="I23" s="143">
        <f>(Table2423256789101112131415[HARGA JUAL]*Table2423256789101112131415[TERJUAL])-(Table2423256789101112131415[HARGA POKOK]*Table2423256789101112131415[TERJUAL])</f>
        <v>42000</v>
      </c>
      <c r="J23" s="143">
        <f>(Table2423256789101112131415[HARGA JUAL]*Table2423256789101112131415[TERJUAL])</f>
        <v>100000</v>
      </c>
      <c r="K23" s="143">
        <f>Table2423256789101112131415[HARGA JUAL]*Table2423256789101112131415[SISA]</f>
        <v>1850000</v>
      </c>
      <c r="L23" s="144">
        <f>Table2423256789101112131415[HARGA POKOK]*Table2423256789101112131415[STOK]</f>
        <v>1131000</v>
      </c>
      <c r="M23" s="144">
        <f>Table2423256789101112131415[HARGA JUAL]*Table2423256789101112131415[STOK]</f>
        <v>1950000</v>
      </c>
      <c r="N23" s="145"/>
    </row>
    <row r="24" spans="1:14" x14ac:dyDescent="0.25">
      <c r="A24" s="137">
        <v>20</v>
      </c>
      <c r="B24" s="138" t="s">
        <v>28</v>
      </c>
      <c r="C24" s="138" t="s">
        <v>52</v>
      </c>
      <c r="D24" s="140">
        <v>30000</v>
      </c>
      <c r="E24" s="140">
        <v>20000</v>
      </c>
      <c r="F24" s="141">
        <v>73</v>
      </c>
      <c r="G24" s="142">
        <v>8</v>
      </c>
      <c r="H24" s="141">
        <f>(Table2423256789101112131415[[#This Row],[STOK]]-Table2423256789101112131415[[#This Row],[TERJUAL]])</f>
        <v>65</v>
      </c>
      <c r="I24" s="143">
        <f>(Table2423256789101112131415[HARGA JUAL]*Table2423256789101112131415[TERJUAL])-(Table2423256789101112131415[HARGA POKOK]*Table2423256789101112131415[TERJUAL])</f>
        <v>-80000</v>
      </c>
      <c r="J24" s="143">
        <f>(Table2423256789101112131415[HARGA JUAL]*Table2423256789101112131415[TERJUAL])</f>
        <v>160000</v>
      </c>
      <c r="K24" s="143">
        <f>Table2423256789101112131415[HARGA JUAL]*Table2423256789101112131415[SISA]</f>
        <v>1300000</v>
      </c>
      <c r="L24" s="144">
        <f>Table2423256789101112131415[HARGA POKOK]*Table2423256789101112131415[STOK]</f>
        <v>2190000</v>
      </c>
      <c r="M24" s="144">
        <f>Table2423256789101112131415[HARGA JUAL]*Table2423256789101112131415[STOK]</f>
        <v>1460000</v>
      </c>
      <c r="N24" s="145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4500</v>
      </c>
      <c r="E25" s="140">
        <v>10000</v>
      </c>
      <c r="F25" s="141">
        <v>20</v>
      </c>
      <c r="G25" s="142"/>
      <c r="H25" s="141">
        <f>(Table2423256789101112131415[[#This Row],[STOK]]-Table2423256789101112131415[[#This Row],[TERJUAL]])</f>
        <v>20</v>
      </c>
      <c r="I25" s="143">
        <f>(Table2423256789101112131415[HARGA JUAL]*Table2423256789101112131415[TERJUAL])-(Table2423256789101112131415[HARGA POKOK]*Table2423256789101112131415[TERJUAL])</f>
        <v>0</v>
      </c>
      <c r="J25" s="143">
        <f>(Table2423256789101112131415[HARGA JUAL]*Table2423256789101112131415[TERJUAL])</f>
        <v>0</v>
      </c>
      <c r="K25" s="143">
        <f>Table2423256789101112131415[HARGA JUAL]*Table2423256789101112131415[SISA]</f>
        <v>200000</v>
      </c>
      <c r="L25" s="144">
        <f>Table2423256789101112131415[HARGA POKOK]*Table2423256789101112131415[STOK]</f>
        <v>90000</v>
      </c>
      <c r="M25" s="144">
        <f>Table2423256789101112131415[HARGA JUAL]*Table2423256789101112131415[STOK]</f>
        <v>200000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87</v>
      </c>
      <c r="G26" s="142">
        <v>4</v>
      </c>
      <c r="H26" s="141">
        <f>(Table2423256789101112131415[[#This Row],[STOK]]-Table2423256789101112131415[[#This Row],[TERJUAL]])</f>
        <v>83</v>
      </c>
      <c r="I26" s="143">
        <f>(Table2423256789101112131415[HARGA JUAL]*Table2423256789101112131415[TERJUAL])-(Table2423256789101112131415[HARGA POKOK]*Table2423256789101112131415[TERJUAL])</f>
        <v>50000</v>
      </c>
      <c r="J26" s="143">
        <f>(Table2423256789101112131415[HARGA JUAL]*Table2423256789101112131415[TERJUAL])</f>
        <v>240000</v>
      </c>
      <c r="K26" s="143">
        <f>Table2423256789101112131415[HARGA JUAL]*Table2423256789101112131415[SISA]</f>
        <v>4980000</v>
      </c>
      <c r="L26" s="144">
        <f>Table2423256789101112131415[HARGA POKOK]*Table2423256789101112131415[STOK]</f>
        <v>4132500</v>
      </c>
      <c r="M26" s="144">
        <f>Table2423256789101112131415[HARGA JUAL]*Table2423256789101112131415[STOK]</f>
        <v>5220000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3</v>
      </c>
      <c r="G27" s="142">
        <v>1</v>
      </c>
      <c r="H27" s="141">
        <f>(Table2423256789101112131415[[#This Row],[STOK]]-Table2423256789101112131415[[#This Row],[TERJUAL]])</f>
        <v>2</v>
      </c>
      <c r="I27" s="143">
        <f>(Table2423256789101112131415[HARGA JUAL]*Table2423256789101112131415[TERJUAL])-(Table2423256789101112131415[HARGA POKOK]*Table2423256789101112131415[TERJUAL])</f>
        <v>28500</v>
      </c>
      <c r="J27" s="143">
        <f>(Table2423256789101112131415[HARGA JUAL]*Table2423256789101112131415[TERJUAL])</f>
        <v>143000</v>
      </c>
      <c r="K27" s="143">
        <f>Table2423256789101112131415[HARGA JUAL]*Table2423256789101112131415[SISA]</f>
        <v>286000</v>
      </c>
      <c r="L27" s="144">
        <f>Table2423256789101112131415[HARGA POKOK]*Table2423256789101112131415[STOK]</f>
        <v>343500</v>
      </c>
      <c r="M27" s="144">
        <f>Table2423256789101112131415[HARGA JUAL]*Table2423256789101112131415[STOK]</f>
        <v>429000</v>
      </c>
      <c r="N27" s="145"/>
    </row>
    <row r="28" spans="1:14" x14ac:dyDescent="0.25">
      <c r="A28" s="137">
        <v>24</v>
      </c>
      <c r="B28" s="138" t="s">
        <v>29</v>
      </c>
      <c r="C28" s="138" t="s">
        <v>293</v>
      </c>
      <c r="D28" s="140">
        <v>68500</v>
      </c>
      <c r="E28" s="140">
        <v>120000</v>
      </c>
      <c r="F28" s="141">
        <v>15</v>
      </c>
      <c r="G28" s="142"/>
      <c r="H28" s="141">
        <f>(Table2423256789101112131415[[#This Row],[STOK]]-Table2423256789101112131415[[#This Row],[TERJUAL]])</f>
        <v>15</v>
      </c>
      <c r="I28" s="143">
        <f>(Table2423256789101112131415[HARGA JUAL]*Table2423256789101112131415[TERJUAL])-(Table2423256789101112131415[HARGA POKOK]*Table2423256789101112131415[TERJUAL])</f>
        <v>0</v>
      </c>
      <c r="J28" s="143">
        <f>(Table2423256789101112131415[HARGA JUAL]*Table2423256789101112131415[TERJUAL])</f>
        <v>0</v>
      </c>
      <c r="K28" s="143">
        <f>Table2423256789101112131415[HARGA JUAL]*Table2423256789101112131415[SISA]</f>
        <v>1800000</v>
      </c>
      <c r="L28" s="144">
        <f>Table2423256789101112131415[HARGA POKOK]*Table2423256789101112131415[STOK]</f>
        <v>1027500</v>
      </c>
      <c r="M28" s="144">
        <f>Table2423256789101112131415[HARGA JUAL]*Table2423256789101112131415[STOK]</f>
        <v>1800000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(Table2423256789101112131415[[#This Row],[STOK]]-Table2423256789101112131415[[#This Row],[TERJUAL]])</f>
        <v>0</v>
      </c>
      <c r="I29" s="143">
        <f>(Table2423256789101112131415[HARGA JUAL]*Table2423256789101112131415[TERJUAL])-(Table2423256789101112131415[HARGA POKOK]*Table2423256789101112131415[TERJUAL])</f>
        <v>0</v>
      </c>
      <c r="J29" s="143">
        <f>(Table2423256789101112131415[HARGA JUAL]*Table2423256789101112131415[TERJUAL])</f>
        <v>0</v>
      </c>
      <c r="K29" s="143">
        <f>Table2423256789101112131415[HARGA JUAL]*Table2423256789101112131415[SISA]</f>
        <v>0</v>
      </c>
      <c r="L29" s="144">
        <f>Table2423256789101112131415[HARGA POKOK]*Table2423256789101112131415[STOK]</f>
        <v>0</v>
      </c>
      <c r="M29" s="144">
        <f>Table2423256789101112131415[HARGA JUAL]*Table2423256789101112131415[STOK]</f>
        <v>0</v>
      </c>
      <c r="N29" s="145"/>
    </row>
    <row r="30" spans="1:14" x14ac:dyDescent="0.25">
      <c r="A30" s="137"/>
      <c r="B30" s="138" t="s">
        <v>30</v>
      </c>
      <c r="C30" s="138" t="s">
        <v>294</v>
      </c>
      <c r="D30" s="140">
        <v>15000</v>
      </c>
      <c r="E30" s="140">
        <v>30000</v>
      </c>
      <c r="F30" s="141">
        <v>14</v>
      </c>
      <c r="G30" s="142">
        <v>1</v>
      </c>
      <c r="H30" s="141">
        <f>(Table2423256789101112131415[[#This Row],[STOK]]-Table2423256789101112131415[[#This Row],[TERJUAL]])</f>
        <v>13</v>
      </c>
      <c r="I30" s="143">
        <f>(Table2423256789101112131415[HARGA JUAL]*Table2423256789101112131415[TERJUAL])-(Table2423256789101112131415[HARGA POKOK]*Table2423256789101112131415[TERJUAL])</f>
        <v>15000</v>
      </c>
      <c r="J30" s="143">
        <f>(Table2423256789101112131415[HARGA JUAL]*Table2423256789101112131415[TERJUAL])</f>
        <v>30000</v>
      </c>
      <c r="K30" s="143">
        <f>Table2423256789101112131415[HARGA JUAL]*Table2423256789101112131415[SISA]</f>
        <v>390000</v>
      </c>
      <c r="L30" s="144">
        <f>Table2423256789101112131415[HARGA POKOK]*Table2423256789101112131415[STOK]</f>
        <v>210000</v>
      </c>
      <c r="M30" s="144">
        <f>Table2423256789101112131415[HARGA JUAL]*Table2423256789101112131415[STOK]</f>
        <v>420000</v>
      </c>
      <c r="N30" s="145"/>
    </row>
    <row r="31" spans="1:14" x14ac:dyDescent="0.25">
      <c r="A31" s="137">
        <v>26</v>
      </c>
      <c r="B31" s="138" t="s">
        <v>30</v>
      </c>
      <c r="C31" s="138" t="s">
        <v>58</v>
      </c>
      <c r="D31" s="140">
        <v>10000</v>
      </c>
      <c r="E31" s="140">
        <v>18000</v>
      </c>
      <c r="F31" s="141">
        <v>15</v>
      </c>
      <c r="G31" s="142">
        <v>2</v>
      </c>
      <c r="H31" s="141">
        <f>(Table2423256789101112131415[[#This Row],[STOK]]-Table2423256789101112131415[[#This Row],[TERJUAL]])</f>
        <v>13</v>
      </c>
      <c r="I31" s="143">
        <f>(Table2423256789101112131415[HARGA JUAL]*Table2423256789101112131415[TERJUAL])-(Table2423256789101112131415[HARGA POKOK]*Table2423256789101112131415[TERJUAL])</f>
        <v>16000</v>
      </c>
      <c r="J31" s="143">
        <f>(Table2423256789101112131415[HARGA JUAL]*Table2423256789101112131415[TERJUAL])</f>
        <v>36000</v>
      </c>
      <c r="K31" s="143">
        <f>Table2423256789101112131415[HARGA JUAL]*Table2423256789101112131415[SISA]</f>
        <v>234000</v>
      </c>
      <c r="L31" s="144">
        <f>Table2423256789101112131415[HARGA POKOK]*Table2423256789101112131415[STOK]</f>
        <v>150000</v>
      </c>
      <c r="M31" s="144">
        <f>Table2423256789101112131415[HARGA JUAL]*Table2423256789101112131415[STOK]</f>
        <v>270000</v>
      </c>
      <c r="N31" s="145"/>
    </row>
    <row r="32" spans="1:14" x14ac:dyDescent="0.25">
      <c r="A32" s="137">
        <v>27</v>
      </c>
      <c r="B32" s="138" t="s">
        <v>30</v>
      </c>
      <c r="C32" s="138" t="s">
        <v>59</v>
      </c>
      <c r="D32" s="140">
        <v>27500</v>
      </c>
      <c r="E32" s="140">
        <v>45000</v>
      </c>
      <c r="F32" s="141">
        <v>16</v>
      </c>
      <c r="G32" s="142"/>
      <c r="H32" s="141">
        <f>(Table2423256789101112131415[[#This Row],[STOK]]-Table2423256789101112131415[[#This Row],[TERJUAL]])</f>
        <v>16</v>
      </c>
      <c r="I32" s="143">
        <f>(Table2423256789101112131415[HARGA JUAL]*Table2423256789101112131415[TERJUAL])-(Table2423256789101112131415[HARGA POKOK]*Table2423256789101112131415[TERJUAL])</f>
        <v>0</v>
      </c>
      <c r="J32" s="143">
        <f>(Table2423256789101112131415[HARGA JUAL]*Table2423256789101112131415[TERJUAL])</f>
        <v>0</v>
      </c>
      <c r="K32" s="143">
        <f>Table2423256789101112131415[HARGA JUAL]*Table2423256789101112131415[SISA]</f>
        <v>720000</v>
      </c>
      <c r="L32" s="144">
        <f>Table2423256789101112131415[HARGA POKOK]*Table2423256789101112131415[STOK]</f>
        <v>440000</v>
      </c>
      <c r="M32" s="144">
        <f>Table2423256789101112131415[HARGA JUAL]*Table2423256789101112131415[STOK]</f>
        <v>720000</v>
      </c>
      <c r="N32" s="145"/>
    </row>
    <row r="33" spans="1:14" x14ac:dyDescent="0.25">
      <c r="A33" s="137">
        <v>28</v>
      </c>
      <c r="B33" s="138" t="s">
        <v>30</v>
      </c>
      <c r="C33" s="138" t="s">
        <v>60</v>
      </c>
      <c r="D33" s="140">
        <v>12500</v>
      </c>
      <c r="E33" s="140">
        <v>16000</v>
      </c>
      <c r="F33" s="141">
        <v>328</v>
      </c>
      <c r="G33" s="142">
        <v>96</v>
      </c>
      <c r="H33" s="141">
        <f>(Table2423256789101112131415[[#This Row],[STOK]]-Table2423256789101112131415[[#This Row],[TERJUAL]])</f>
        <v>232</v>
      </c>
      <c r="I33" s="143">
        <f>(Table2423256789101112131415[HARGA JUAL]*Table2423256789101112131415[TERJUAL])-(Table2423256789101112131415[HARGA POKOK]*Table2423256789101112131415[TERJUAL])</f>
        <v>336000</v>
      </c>
      <c r="J33" s="143">
        <f>(Table2423256789101112131415[HARGA JUAL]*Table2423256789101112131415[TERJUAL])</f>
        <v>1536000</v>
      </c>
      <c r="K33" s="143">
        <f>Table2423256789101112131415[HARGA JUAL]*Table2423256789101112131415[SISA]</f>
        <v>3712000</v>
      </c>
      <c r="L33" s="144">
        <f>Table2423256789101112131415[HARGA POKOK]*Table2423256789101112131415[STOK]</f>
        <v>4100000</v>
      </c>
      <c r="M33" s="144">
        <f>Table2423256789101112131415[HARGA JUAL]*Table2423256789101112131415[STOK]</f>
        <v>5248000</v>
      </c>
      <c r="N33" s="145"/>
    </row>
    <row r="34" spans="1:14" x14ac:dyDescent="0.25">
      <c r="A34" s="137">
        <v>29</v>
      </c>
      <c r="B34" s="138" t="s">
        <v>30</v>
      </c>
      <c r="C34" s="138" t="s">
        <v>13</v>
      </c>
      <c r="D34" s="140">
        <v>33500</v>
      </c>
      <c r="E34" s="140">
        <v>50000</v>
      </c>
      <c r="F34" s="141">
        <v>24</v>
      </c>
      <c r="G34" s="142">
        <v>3</v>
      </c>
      <c r="H34" s="141">
        <f>(Table2423256789101112131415[[#This Row],[STOK]]-Table2423256789101112131415[[#This Row],[TERJUAL]])</f>
        <v>21</v>
      </c>
      <c r="I34" s="143">
        <f>(Table2423256789101112131415[HARGA JUAL]*Table2423256789101112131415[TERJUAL])-(Table2423256789101112131415[HARGA POKOK]*Table2423256789101112131415[TERJUAL])</f>
        <v>49500</v>
      </c>
      <c r="J34" s="143">
        <f>(Table2423256789101112131415[HARGA JUAL]*Table2423256789101112131415[TERJUAL])</f>
        <v>150000</v>
      </c>
      <c r="K34" s="143">
        <f>Table2423256789101112131415[HARGA JUAL]*Table2423256789101112131415[SISA]</f>
        <v>1050000</v>
      </c>
      <c r="L34" s="144">
        <f>Table2423256789101112131415[HARGA POKOK]*Table2423256789101112131415[STOK]</f>
        <v>804000</v>
      </c>
      <c r="M34" s="144">
        <f>Table2423256789101112131415[HARGA JUAL]*Table2423256789101112131415[STOK]</f>
        <v>1200000</v>
      </c>
      <c r="N34" s="145"/>
    </row>
    <row r="35" spans="1:14" x14ac:dyDescent="0.25">
      <c r="A35" s="137">
        <v>30</v>
      </c>
      <c r="B35" s="138" t="s">
        <v>30</v>
      </c>
      <c r="C35" s="193" t="s">
        <v>14</v>
      </c>
      <c r="D35" s="140">
        <v>8500</v>
      </c>
      <c r="E35" s="140">
        <v>12000</v>
      </c>
      <c r="F35" s="141">
        <v>153</v>
      </c>
      <c r="G35" s="142">
        <v>11</v>
      </c>
      <c r="H35" s="141">
        <f>(Table2423256789101112131415[[#This Row],[STOK]]-Table2423256789101112131415[[#This Row],[TERJUAL]])</f>
        <v>142</v>
      </c>
      <c r="I35" s="143">
        <f>(Table2423256789101112131415[HARGA JUAL]*Table2423256789101112131415[TERJUAL])-(Table2423256789101112131415[HARGA POKOK]*Table2423256789101112131415[TERJUAL])</f>
        <v>38500</v>
      </c>
      <c r="J35" s="143">
        <f>(Table2423256789101112131415[HARGA JUAL]*Table2423256789101112131415[TERJUAL])</f>
        <v>132000</v>
      </c>
      <c r="K35" s="143">
        <f>Table2423256789101112131415[HARGA JUAL]*Table2423256789101112131415[SISA]</f>
        <v>1704000</v>
      </c>
      <c r="L35" s="144">
        <f>Table2423256789101112131415[HARGA POKOK]*Table2423256789101112131415[STOK]</f>
        <v>1300500</v>
      </c>
      <c r="M35" s="144">
        <f>Table2423256789101112131415[HARGA JUAL]*Table2423256789101112131415[STOK]</f>
        <v>1836000</v>
      </c>
      <c r="N35" s="145"/>
    </row>
    <row r="36" spans="1:14" x14ac:dyDescent="0.25">
      <c r="A36" s="137">
        <v>31</v>
      </c>
      <c r="B36" s="138" t="s">
        <v>30</v>
      </c>
      <c r="C36" s="138" t="s">
        <v>15</v>
      </c>
      <c r="D36" s="140">
        <v>30500</v>
      </c>
      <c r="E36" s="140">
        <v>45000</v>
      </c>
      <c r="F36" s="141">
        <v>9</v>
      </c>
      <c r="G36" s="142">
        <v>1</v>
      </c>
      <c r="H36" s="141">
        <f>(Table2423256789101112131415[[#This Row],[STOK]]-Table2423256789101112131415[[#This Row],[TERJUAL]])</f>
        <v>8</v>
      </c>
      <c r="I36" s="143">
        <f>(Table2423256789101112131415[HARGA JUAL]*Table2423256789101112131415[TERJUAL])-(Table2423256789101112131415[HARGA POKOK]*Table2423256789101112131415[TERJUAL])</f>
        <v>14500</v>
      </c>
      <c r="J36" s="143">
        <f>(Table2423256789101112131415[HARGA JUAL]*Table2423256789101112131415[TERJUAL])</f>
        <v>45000</v>
      </c>
      <c r="K36" s="143">
        <f>Table2423256789101112131415[HARGA JUAL]*Table2423256789101112131415[SISA]</f>
        <v>360000</v>
      </c>
      <c r="L36" s="144">
        <f>Table2423256789101112131415[HARGA POKOK]*Table2423256789101112131415[STOK]</f>
        <v>274500</v>
      </c>
      <c r="M36" s="144">
        <f>Table2423256789101112131415[HARGA JUAL]*Table2423256789101112131415[STOK]</f>
        <v>405000</v>
      </c>
      <c r="N36" s="145"/>
    </row>
    <row r="37" spans="1:14" x14ac:dyDescent="0.25">
      <c r="A37" s="137">
        <v>32</v>
      </c>
      <c r="B37" s="138" t="s">
        <v>30</v>
      </c>
      <c r="C37" s="138" t="s">
        <v>16</v>
      </c>
      <c r="D37" s="140">
        <v>7500</v>
      </c>
      <c r="E37" s="140">
        <v>10000</v>
      </c>
      <c r="F37" s="141">
        <v>135</v>
      </c>
      <c r="G37" s="142">
        <v>10</v>
      </c>
      <c r="H37" s="141">
        <f>(Table2423256789101112131415[[#This Row],[STOK]]-Table2423256789101112131415[[#This Row],[TERJUAL]])</f>
        <v>125</v>
      </c>
      <c r="I37" s="143">
        <f>(Table2423256789101112131415[HARGA JUAL]*Table2423256789101112131415[TERJUAL])-(Table2423256789101112131415[HARGA POKOK]*Table2423256789101112131415[TERJUAL])</f>
        <v>25000</v>
      </c>
      <c r="J37" s="143">
        <f>(Table2423256789101112131415[HARGA JUAL]*Table2423256789101112131415[TERJUAL])</f>
        <v>100000</v>
      </c>
      <c r="K37" s="143">
        <f>Table2423256789101112131415[HARGA JUAL]*Table2423256789101112131415[SISA]</f>
        <v>1250000</v>
      </c>
      <c r="L37" s="144">
        <f>Table2423256789101112131415[HARGA POKOK]*Table2423256789101112131415[STOK]</f>
        <v>1012500</v>
      </c>
      <c r="M37" s="144">
        <f>Table2423256789101112131415[HARGA JUAL]*Table2423256789101112131415[STOK]</f>
        <v>1350000</v>
      </c>
      <c r="N37" s="145"/>
    </row>
    <row r="38" spans="1:14" x14ac:dyDescent="0.25">
      <c r="A38" s="137">
        <v>33</v>
      </c>
      <c r="B38" s="138" t="s">
        <v>35</v>
      </c>
      <c r="C38" s="138" t="s">
        <v>36</v>
      </c>
      <c r="D38" s="140">
        <v>51500</v>
      </c>
      <c r="E38" s="140">
        <v>65000</v>
      </c>
      <c r="F38" s="141">
        <v>25</v>
      </c>
      <c r="G38" s="142">
        <v>1</v>
      </c>
      <c r="H38" s="141">
        <f>(Table2423256789101112131415[[#This Row],[STOK]]-Table2423256789101112131415[[#This Row],[TERJUAL]])</f>
        <v>24</v>
      </c>
      <c r="I38" s="143">
        <f>(Table2423256789101112131415[HARGA JUAL]*Table2423256789101112131415[TERJUAL])-(Table2423256789101112131415[HARGA POKOK]*Table2423256789101112131415[TERJUAL])</f>
        <v>13500</v>
      </c>
      <c r="J38" s="143">
        <f>(Table2423256789101112131415[HARGA JUAL]*Table2423256789101112131415[TERJUAL])</f>
        <v>65000</v>
      </c>
      <c r="K38" s="143">
        <f>Table2423256789101112131415[HARGA JUAL]*Table2423256789101112131415[SISA]</f>
        <v>1560000</v>
      </c>
      <c r="L38" s="144">
        <f>Table2423256789101112131415[HARGA POKOK]*Table2423256789101112131415[STOK]</f>
        <v>1287500</v>
      </c>
      <c r="M38" s="144">
        <f>Table2423256789101112131415[HARGA JUAL]*Table2423256789101112131415[STOK]</f>
        <v>1625000</v>
      </c>
      <c r="N38" s="145"/>
    </row>
    <row r="39" spans="1:14" x14ac:dyDescent="0.25">
      <c r="A39" s="137">
        <v>34</v>
      </c>
      <c r="B39" s="138" t="s">
        <v>35</v>
      </c>
      <c r="C39" s="138" t="s">
        <v>175</v>
      </c>
      <c r="D39" s="140">
        <v>27500</v>
      </c>
      <c r="E39" s="140">
        <v>40000</v>
      </c>
      <c r="F39" s="141">
        <v>76</v>
      </c>
      <c r="G39" s="142">
        <v>3</v>
      </c>
      <c r="H39" s="141">
        <f>(Table2423256789101112131415[[#This Row],[STOK]]-Table2423256789101112131415[[#This Row],[TERJUAL]])</f>
        <v>73</v>
      </c>
      <c r="I39" s="143">
        <f>(Table2423256789101112131415[HARGA JUAL]*Table2423256789101112131415[TERJUAL])-(Table2423256789101112131415[HARGA POKOK]*Table2423256789101112131415[TERJUAL])</f>
        <v>37500</v>
      </c>
      <c r="J39" s="143">
        <f>(Table2423256789101112131415[HARGA JUAL]*Table2423256789101112131415[TERJUAL])</f>
        <v>120000</v>
      </c>
      <c r="K39" s="143">
        <f>Table2423256789101112131415[HARGA JUAL]*Table2423256789101112131415[SISA]</f>
        <v>2920000</v>
      </c>
      <c r="L39" s="144">
        <f>Table2423256789101112131415[HARGA POKOK]*Table2423256789101112131415[STOK]</f>
        <v>2090000</v>
      </c>
      <c r="M39" s="144">
        <f>Table2423256789101112131415[HARGA JUAL]*Table2423256789101112131415[STOK]</f>
        <v>3040000</v>
      </c>
      <c r="N39" s="145"/>
    </row>
    <row r="40" spans="1:14" x14ac:dyDescent="0.25">
      <c r="A40" s="137">
        <v>35</v>
      </c>
      <c r="B40" s="138" t="s">
        <v>31</v>
      </c>
      <c r="C40" s="138" t="s">
        <v>180</v>
      </c>
      <c r="D40" s="140">
        <v>21500</v>
      </c>
      <c r="E40" s="140">
        <v>40000</v>
      </c>
      <c r="F40" s="141">
        <v>93</v>
      </c>
      <c r="G40" s="142">
        <v>14</v>
      </c>
      <c r="H40" s="141">
        <f>(Table2423256789101112131415[[#This Row],[STOK]]-Table2423256789101112131415[[#This Row],[TERJUAL]])</f>
        <v>79</v>
      </c>
      <c r="I40" s="143">
        <f>(Table2423256789101112131415[HARGA JUAL]*Table2423256789101112131415[TERJUAL])-(Table2423256789101112131415[HARGA POKOK]*Table2423256789101112131415[TERJUAL])</f>
        <v>259000</v>
      </c>
      <c r="J40" s="143">
        <f>(Table2423256789101112131415[HARGA JUAL]*Table2423256789101112131415[TERJUAL])</f>
        <v>560000</v>
      </c>
      <c r="K40" s="143">
        <f>Table2423256789101112131415[HARGA JUAL]*Table2423256789101112131415[SISA]</f>
        <v>3160000</v>
      </c>
      <c r="L40" s="144">
        <f>Table2423256789101112131415[HARGA POKOK]*Table2423256789101112131415[STOK]</f>
        <v>1999500</v>
      </c>
      <c r="M40" s="144">
        <f>Table2423256789101112131415[HARGA JUAL]*Table2423256789101112131415[STOK]</f>
        <v>3720000</v>
      </c>
      <c r="N40" s="145"/>
    </row>
    <row r="41" spans="1:14" x14ac:dyDescent="0.25">
      <c r="A41" s="137">
        <v>36</v>
      </c>
      <c r="B41" s="138" t="s">
        <v>31</v>
      </c>
      <c r="C41" s="138" t="s">
        <v>62</v>
      </c>
      <c r="D41" s="140">
        <v>25000</v>
      </c>
      <c r="E41" s="140">
        <v>15000</v>
      </c>
      <c r="F41" s="141"/>
      <c r="G41" s="142"/>
      <c r="H41" s="141">
        <f>(Table2423256789101112131415[[#This Row],[STOK]]-Table2423256789101112131415[[#This Row],[TERJUAL]])</f>
        <v>0</v>
      </c>
      <c r="I41" s="143">
        <f>(Table2423256789101112131415[HARGA JUAL]*Table2423256789101112131415[TERJUAL])-(Table2423256789101112131415[HARGA POKOK]*Table2423256789101112131415[TERJUAL])</f>
        <v>0</v>
      </c>
      <c r="J41" s="143">
        <f>(Table2423256789101112131415[HARGA JUAL]*Table2423256789101112131415[TERJUAL])</f>
        <v>0</v>
      </c>
      <c r="K41" s="143">
        <f>Table2423256789101112131415[HARGA JUAL]*Table2423256789101112131415[SISA]</f>
        <v>0</v>
      </c>
      <c r="L41" s="144">
        <f>Table2423256789101112131415[HARGA POKOK]*Table2423256789101112131415[STOK]</f>
        <v>0</v>
      </c>
      <c r="M41" s="144">
        <f>Table2423256789101112131415[HARGA JUAL]*Table2423256789101112131415[STOK]</f>
        <v>0</v>
      </c>
      <c r="N41" s="145"/>
    </row>
    <row r="42" spans="1:14" x14ac:dyDescent="0.25">
      <c r="A42" s="137">
        <v>37</v>
      </c>
      <c r="B42" s="138" t="s">
        <v>31</v>
      </c>
      <c r="C42" s="138" t="s">
        <v>181</v>
      </c>
      <c r="D42" s="140">
        <v>34500</v>
      </c>
      <c r="E42" s="140">
        <v>40000</v>
      </c>
      <c r="F42" s="141">
        <v>116</v>
      </c>
      <c r="G42" s="142">
        <v>2</v>
      </c>
      <c r="H42" s="141">
        <f>(Table2423256789101112131415[[#This Row],[STOK]]-Table2423256789101112131415[[#This Row],[TERJUAL]])</f>
        <v>114</v>
      </c>
      <c r="I42" s="143">
        <f>(Table2423256789101112131415[HARGA JUAL]*Table2423256789101112131415[TERJUAL])-(Table2423256789101112131415[HARGA POKOK]*Table2423256789101112131415[TERJUAL])</f>
        <v>11000</v>
      </c>
      <c r="J42" s="143">
        <f>(Table2423256789101112131415[HARGA JUAL]*Table2423256789101112131415[TERJUAL])</f>
        <v>80000</v>
      </c>
      <c r="K42" s="143">
        <f>Table2423256789101112131415[HARGA JUAL]*Table2423256789101112131415[SISA]</f>
        <v>4560000</v>
      </c>
      <c r="L42" s="144">
        <f>Table2423256789101112131415[HARGA POKOK]*Table2423256789101112131415[STOK]</f>
        <v>4002000</v>
      </c>
      <c r="M42" s="144">
        <f>Table2423256789101112131415[HARGA JUAL]*Table2423256789101112131415[STOK]</f>
        <v>4640000</v>
      </c>
      <c r="N42" s="145"/>
    </row>
    <row r="43" spans="1:14" x14ac:dyDescent="0.25">
      <c r="A43" s="137">
        <v>38</v>
      </c>
      <c r="B43" s="138" t="s">
        <v>31</v>
      </c>
      <c r="C43" s="138" t="s">
        <v>64</v>
      </c>
      <c r="D43" s="140">
        <v>24000</v>
      </c>
      <c r="E43" s="140">
        <v>40000</v>
      </c>
      <c r="F43" s="141">
        <v>1</v>
      </c>
      <c r="G43" s="142">
        <v>1</v>
      </c>
      <c r="H43" s="141">
        <f>(Table2423256789101112131415[[#This Row],[STOK]]-Table2423256789101112131415[[#This Row],[TERJUAL]])</f>
        <v>0</v>
      </c>
      <c r="I43" s="143">
        <f>(Table2423256789101112131415[HARGA JUAL]*Table2423256789101112131415[TERJUAL])-(Table2423256789101112131415[HARGA POKOK]*Table2423256789101112131415[TERJUAL])</f>
        <v>16000</v>
      </c>
      <c r="J43" s="143">
        <f>(Table2423256789101112131415[HARGA JUAL]*Table2423256789101112131415[TERJUAL])</f>
        <v>40000</v>
      </c>
      <c r="K43" s="143">
        <f>Table2423256789101112131415[HARGA JUAL]*Table2423256789101112131415[SISA]</f>
        <v>0</v>
      </c>
      <c r="L43" s="144">
        <f>Table2423256789101112131415[HARGA POKOK]*Table2423256789101112131415[STOK]</f>
        <v>24000</v>
      </c>
      <c r="M43" s="144">
        <f>Table2423256789101112131415[HARGA JUAL]*Table2423256789101112131415[STOK]</f>
        <v>40000</v>
      </c>
      <c r="N43" s="145"/>
    </row>
    <row r="44" spans="1:14" x14ac:dyDescent="0.25">
      <c r="A44" s="137">
        <v>39</v>
      </c>
      <c r="B44" s="138" t="s">
        <v>31</v>
      </c>
      <c r="C44" s="138" t="s">
        <v>138</v>
      </c>
      <c r="D44" s="140">
        <v>34000</v>
      </c>
      <c r="E44" s="140">
        <v>40000</v>
      </c>
      <c r="F44" s="141">
        <v>0</v>
      </c>
      <c r="G44" s="142"/>
      <c r="H44" s="141">
        <f>(Table2423256789101112131415[[#This Row],[STOK]]-Table2423256789101112131415[[#This Row],[TERJUAL]])</f>
        <v>0</v>
      </c>
      <c r="I44" s="143">
        <f>(Table2423256789101112131415[HARGA JUAL]*Table2423256789101112131415[TERJUAL])-(Table2423256789101112131415[HARGA POKOK]*Table2423256789101112131415[TERJUAL])</f>
        <v>0</v>
      </c>
      <c r="J44" s="143">
        <f>(Table2423256789101112131415[HARGA JUAL]*Table2423256789101112131415[TERJUAL])</f>
        <v>0</v>
      </c>
      <c r="K44" s="143">
        <f>Table2423256789101112131415[HARGA JUAL]*Table2423256789101112131415[SISA]</f>
        <v>0</v>
      </c>
      <c r="L44" s="144">
        <f>Table2423256789101112131415[HARGA POKOK]*Table2423256789101112131415[STOK]</f>
        <v>0</v>
      </c>
      <c r="M44" s="144">
        <f>Table2423256789101112131415[HARGA JUAL]*Table2423256789101112131415[STOK]</f>
        <v>0</v>
      </c>
      <c r="N44" s="145"/>
    </row>
    <row r="45" spans="1:14" x14ac:dyDescent="0.25">
      <c r="A45" s="137"/>
      <c r="B45" s="138" t="s">
        <v>31</v>
      </c>
      <c r="C45" s="138" t="s">
        <v>260</v>
      </c>
      <c r="D45" s="140"/>
      <c r="E45" s="140">
        <v>750000</v>
      </c>
      <c r="F45" s="141">
        <v>0</v>
      </c>
      <c r="G45" s="142"/>
      <c r="H45" s="141">
        <f>(Table2423256789101112131415[[#This Row],[STOK]]-Table2423256789101112131415[[#This Row],[TERJUAL]])</f>
        <v>0</v>
      </c>
      <c r="I45" s="143">
        <f>(Table2423256789101112131415[HARGA JUAL]*Table2423256789101112131415[TERJUAL])-(Table2423256789101112131415[HARGA POKOK]*Table2423256789101112131415[TERJUAL])</f>
        <v>0</v>
      </c>
      <c r="J45" s="143">
        <f>(Table2423256789101112131415[HARGA JUAL]*Table2423256789101112131415[TERJUAL])</f>
        <v>0</v>
      </c>
      <c r="K45" s="143">
        <f>Table2423256789101112131415[HARGA JUAL]*Table2423256789101112131415[SISA]</f>
        <v>0</v>
      </c>
      <c r="L45" s="144">
        <f>Table2423256789101112131415[HARGA POKOK]*Table2423256789101112131415[STOK]</f>
        <v>0</v>
      </c>
      <c r="M45" s="144">
        <f>Table2423256789101112131415[HARGA JUAL]*Table2423256789101112131415[STOK]</f>
        <v>0</v>
      </c>
      <c r="N45" s="145"/>
    </row>
    <row r="46" spans="1:14" x14ac:dyDescent="0.25">
      <c r="A46" s="137">
        <v>40</v>
      </c>
      <c r="B46" s="138" t="s">
        <v>31</v>
      </c>
      <c r="C46" s="138" t="s">
        <v>261</v>
      </c>
      <c r="D46" s="140">
        <v>30000</v>
      </c>
      <c r="E46" s="140">
        <v>35000</v>
      </c>
      <c r="F46" s="141">
        <v>5</v>
      </c>
      <c r="G46" s="142">
        <v>1</v>
      </c>
      <c r="H46" s="141">
        <f>(Table2423256789101112131415[[#This Row],[STOK]]-Table2423256789101112131415[[#This Row],[TERJUAL]])</f>
        <v>4</v>
      </c>
      <c r="I46" s="143">
        <f>(Table2423256789101112131415[HARGA JUAL]*Table2423256789101112131415[TERJUAL])-(Table2423256789101112131415[HARGA POKOK]*Table2423256789101112131415[TERJUAL])</f>
        <v>5000</v>
      </c>
      <c r="J46" s="143">
        <f>(Table2423256789101112131415[HARGA JUAL]*Table2423256789101112131415[TERJUAL])</f>
        <v>35000</v>
      </c>
      <c r="K46" s="143">
        <f>Table2423256789101112131415[HARGA JUAL]*Table2423256789101112131415[SISA]</f>
        <v>140000</v>
      </c>
      <c r="L46" s="144">
        <f>Table2423256789101112131415[HARGA POKOK]*Table2423256789101112131415[STOK]</f>
        <v>150000</v>
      </c>
      <c r="M46" s="144">
        <f>Table2423256789101112131415[HARGA JUAL]*Table2423256789101112131415[STOK]</f>
        <v>175000</v>
      </c>
      <c r="N46" s="145"/>
    </row>
    <row r="47" spans="1:14" x14ac:dyDescent="0.25">
      <c r="A47" s="137">
        <v>41</v>
      </c>
      <c r="B47" s="138" t="s">
        <v>31</v>
      </c>
      <c r="C47" s="138" t="s">
        <v>67</v>
      </c>
      <c r="D47" s="140">
        <v>27500</v>
      </c>
      <c r="E47" s="140">
        <v>40000</v>
      </c>
      <c r="F47" s="141">
        <v>0</v>
      </c>
      <c r="G47" s="142"/>
      <c r="H47" s="141">
        <f>(Table2423256789101112131415[[#This Row],[STOK]]-Table2423256789101112131415[[#This Row],[TERJUAL]])</f>
        <v>0</v>
      </c>
      <c r="I47" s="143">
        <f>(Table2423256789101112131415[HARGA JUAL]*Table2423256789101112131415[TERJUAL])-(Table2423256789101112131415[HARGA POKOK]*Table2423256789101112131415[TERJUAL])</f>
        <v>0</v>
      </c>
      <c r="J47" s="143">
        <f>(Table2423256789101112131415[HARGA JUAL]*Table2423256789101112131415[TERJUAL])</f>
        <v>0</v>
      </c>
      <c r="K47" s="143">
        <f>Table2423256789101112131415[HARGA JUAL]*Table2423256789101112131415[SISA]</f>
        <v>0</v>
      </c>
      <c r="L47" s="144">
        <f>Table2423256789101112131415[HARGA POKOK]*Table2423256789101112131415[STOK]</f>
        <v>0</v>
      </c>
      <c r="M47" s="144">
        <f>Table2423256789101112131415[HARGA JUAL]*Table2423256789101112131415[STOK]</f>
        <v>0</v>
      </c>
      <c r="N47" s="145"/>
    </row>
    <row r="48" spans="1:14" x14ac:dyDescent="0.25">
      <c r="A48" s="137">
        <v>42</v>
      </c>
      <c r="B48" s="138" t="s">
        <v>31</v>
      </c>
      <c r="C48" s="138" t="s">
        <v>140</v>
      </c>
      <c r="D48" s="140">
        <v>15000</v>
      </c>
      <c r="E48" s="140">
        <v>30000</v>
      </c>
      <c r="F48" s="141">
        <v>0</v>
      </c>
      <c r="G48" s="142"/>
      <c r="H48" s="141">
        <f>(Table2423256789101112131415[[#This Row],[STOK]]-Table2423256789101112131415[[#This Row],[TERJUAL]])</f>
        <v>0</v>
      </c>
      <c r="I48" s="143">
        <f>(Table2423256789101112131415[HARGA JUAL]*Table2423256789101112131415[TERJUAL])-(Table2423256789101112131415[HARGA POKOK]*Table2423256789101112131415[TERJUAL])</f>
        <v>0</v>
      </c>
      <c r="J48" s="143">
        <f>(Table2423256789101112131415[HARGA JUAL]*Table2423256789101112131415[TERJUAL])</f>
        <v>0</v>
      </c>
      <c r="K48" s="143">
        <f>Table2423256789101112131415[HARGA JUAL]*Table2423256789101112131415[SISA]</f>
        <v>0</v>
      </c>
      <c r="L48" s="144">
        <f>Table2423256789101112131415[HARGA POKOK]*Table2423256789101112131415[STOK]</f>
        <v>0</v>
      </c>
      <c r="M48" s="144">
        <f>Table2423256789101112131415[HARGA JUAL]*Table2423256789101112131415[STOK]</f>
        <v>0</v>
      </c>
      <c r="N48" s="145"/>
    </row>
    <row r="49" spans="1:14" x14ac:dyDescent="0.25">
      <c r="A49" s="137">
        <v>43</v>
      </c>
      <c r="B49" s="138" t="s">
        <v>31</v>
      </c>
      <c r="C49" s="138" t="s">
        <v>137</v>
      </c>
      <c r="D49" s="140">
        <v>190000</v>
      </c>
      <c r="E49" s="140">
        <v>200000</v>
      </c>
      <c r="F49" s="141">
        <v>0</v>
      </c>
      <c r="G49" s="142"/>
      <c r="H49" s="141">
        <f>(Table2423256789101112131415[[#This Row],[STOK]]-Table2423256789101112131415[[#This Row],[TERJUAL]])</f>
        <v>0</v>
      </c>
      <c r="I49" s="143">
        <f>(Table2423256789101112131415[HARGA JUAL]*Table2423256789101112131415[TERJUAL])-(Table2423256789101112131415[HARGA POKOK]*Table2423256789101112131415[TERJUAL])</f>
        <v>0</v>
      </c>
      <c r="J49" s="143">
        <f>(Table2423256789101112131415[HARGA JUAL]*Table2423256789101112131415[TERJUAL])</f>
        <v>0</v>
      </c>
      <c r="K49" s="143">
        <f>Table2423256789101112131415[HARGA JUAL]*Table2423256789101112131415[SISA]</f>
        <v>0</v>
      </c>
      <c r="L49" s="144">
        <f>Table2423256789101112131415[HARGA POKOK]*Table2423256789101112131415[STOK]</f>
        <v>0</v>
      </c>
      <c r="M49" s="144">
        <f>Table2423256789101112131415[HARGA JUAL]*Table2423256789101112131415[STOK]</f>
        <v>0</v>
      </c>
      <c r="N49" s="145"/>
    </row>
    <row r="50" spans="1:14" x14ac:dyDescent="0.25">
      <c r="A50" s="137">
        <v>44</v>
      </c>
      <c r="B50" s="138" t="s">
        <v>31</v>
      </c>
      <c r="C50" s="138" t="s">
        <v>139</v>
      </c>
      <c r="D50" s="140">
        <v>16000</v>
      </c>
      <c r="E50" s="140">
        <v>25000</v>
      </c>
      <c r="F50" s="141">
        <v>5</v>
      </c>
      <c r="G50" s="142">
        <v>3</v>
      </c>
      <c r="H50" s="141">
        <f>(Table2423256789101112131415[[#This Row],[STOK]]-Table2423256789101112131415[[#This Row],[TERJUAL]])</f>
        <v>2</v>
      </c>
      <c r="I50" s="143">
        <f>(Table2423256789101112131415[HARGA JUAL]*Table2423256789101112131415[TERJUAL])-(Table2423256789101112131415[HARGA POKOK]*Table2423256789101112131415[TERJUAL])</f>
        <v>27000</v>
      </c>
      <c r="J50" s="143">
        <f>(Table2423256789101112131415[HARGA JUAL]*Table2423256789101112131415[TERJUAL])</f>
        <v>75000</v>
      </c>
      <c r="K50" s="143">
        <f>Table2423256789101112131415[HARGA JUAL]*Table2423256789101112131415[SISA]</f>
        <v>50000</v>
      </c>
      <c r="L50" s="144">
        <f>Table2423256789101112131415[HARGA POKOK]*Table2423256789101112131415[STOK]</f>
        <v>80000</v>
      </c>
      <c r="M50" s="144">
        <f>Table2423256789101112131415[HARGA JUAL]*Table2423256789101112131415[STOK]</f>
        <v>125000</v>
      </c>
      <c r="N50" s="145"/>
    </row>
    <row r="51" spans="1:14" x14ac:dyDescent="0.25">
      <c r="A51" s="137">
        <v>45</v>
      </c>
      <c r="B51" s="138" t="s">
        <v>31</v>
      </c>
      <c r="C51" s="138" t="s">
        <v>134</v>
      </c>
      <c r="D51" s="140">
        <v>18000</v>
      </c>
      <c r="E51" s="140">
        <v>30000</v>
      </c>
      <c r="F51" s="141">
        <v>0</v>
      </c>
      <c r="G51" s="142"/>
      <c r="H51" s="141">
        <f>(Table2423256789101112131415[[#This Row],[STOK]]-Table2423256789101112131415[[#This Row],[TERJUAL]])</f>
        <v>0</v>
      </c>
      <c r="I51" s="143">
        <f>(Table2423256789101112131415[HARGA JUAL]*Table2423256789101112131415[TERJUAL])-(Table2423256789101112131415[HARGA POKOK]*Table2423256789101112131415[TERJUAL])</f>
        <v>0</v>
      </c>
      <c r="J51" s="143">
        <f>(Table2423256789101112131415[HARGA JUAL]*Table2423256789101112131415[TERJUAL])</f>
        <v>0</v>
      </c>
      <c r="K51" s="143">
        <f>Table2423256789101112131415[HARGA JUAL]*Table2423256789101112131415[SISA]</f>
        <v>0</v>
      </c>
      <c r="L51" s="144">
        <f>Table2423256789101112131415[HARGA POKOK]*Table2423256789101112131415[STOK]</f>
        <v>0</v>
      </c>
      <c r="M51" s="144">
        <f>Table2423256789101112131415[HARGA JUAL]*Table2423256789101112131415[STOK]</f>
        <v>0</v>
      </c>
      <c r="N51" s="145"/>
    </row>
    <row r="52" spans="1:14" x14ac:dyDescent="0.25">
      <c r="A52" s="137">
        <v>46</v>
      </c>
      <c r="B52" s="138" t="s">
        <v>31</v>
      </c>
      <c r="C52" s="138" t="s">
        <v>183</v>
      </c>
      <c r="D52" s="140">
        <v>18000</v>
      </c>
      <c r="E52" s="140">
        <v>30000</v>
      </c>
      <c r="F52" s="141">
        <v>12</v>
      </c>
      <c r="G52" s="142">
        <v>2</v>
      </c>
      <c r="H52" s="141">
        <f>(Table2423256789101112131415[[#This Row],[STOK]]-Table2423256789101112131415[[#This Row],[TERJUAL]])</f>
        <v>10</v>
      </c>
      <c r="I52" s="143">
        <f>(Table2423256789101112131415[HARGA JUAL]*Table2423256789101112131415[TERJUAL])-(Table2423256789101112131415[HARGA POKOK]*Table2423256789101112131415[TERJUAL])</f>
        <v>24000</v>
      </c>
      <c r="J52" s="143">
        <f>(Table2423256789101112131415[HARGA JUAL]*Table2423256789101112131415[TERJUAL])</f>
        <v>60000</v>
      </c>
      <c r="K52" s="143">
        <f>Table2423256789101112131415[HARGA JUAL]*Table2423256789101112131415[SISA]</f>
        <v>300000</v>
      </c>
      <c r="L52" s="144">
        <f>Table2423256789101112131415[HARGA POKOK]*Table2423256789101112131415[STOK]</f>
        <v>216000</v>
      </c>
      <c r="M52" s="144">
        <f>Table2423256789101112131415[HARGA JUAL]*Table2423256789101112131415[STOK]</f>
        <v>360000</v>
      </c>
      <c r="N52" s="145"/>
    </row>
    <row r="53" spans="1:14" x14ac:dyDescent="0.25">
      <c r="A53" s="137">
        <v>47</v>
      </c>
      <c r="B53" s="138" t="s">
        <v>31</v>
      </c>
      <c r="C53" s="193" t="s">
        <v>184</v>
      </c>
      <c r="D53" s="140">
        <v>12500</v>
      </c>
      <c r="E53" s="140">
        <v>30000</v>
      </c>
      <c r="F53" s="141">
        <v>96</v>
      </c>
      <c r="G53" s="142">
        <v>6</v>
      </c>
      <c r="H53" s="141">
        <f>(Table2423256789101112131415[[#This Row],[STOK]]-Table2423256789101112131415[[#This Row],[TERJUAL]])</f>
        <v>90</v>
      </c>
      <c r="I53" s="143">
        <f>(Table2423256789101112131415[HARGA JUAL]*Table2423256789101112131415[TERJUAL])-(Table2423256789101112131415[HARGA POKOK]*Table2423256789101112131415[TERJUAL])</f>
        <v>105000</v>
      </c>
      <c r="J53" s="143">
        <f>(Table2423256789101112131415[HARGA JUAL]*Table2423256789101112131415[TERJUAL])</f>
        <v>180000</v>
      </c>
      <c r="K53" s="143">
        <f>Table2423256789101112131415[HARGA JUAL]*Table2423256789101112131415[SISA]</f>
        <v>2700000</v>
      </c>
      <c r="L53" s="144">
        <f>Table2423256789101112131415[HARGA POKOK]*Table2423256789101112131415[STOK]</f>
        <v>1200000</v>
      </c>
      <c r="M53" s="144">
        <f>Table2423256789101112131415[HARGA JUAL]*Table2423256789101112131415[STOK]</f>
        <v>2880000</v>
      </c>
      <c r="N53" s="145"/>
    </row>
    <row r="54" spans="1:14" x14ac:dyDescent="0.25">
      <c r="A54" s="137">
        <v>48</v>
      </c>
      <c r="B54" s="138" t="s">
        <v>31</v>
      </c>
      <c r="C54" s="138" t="s">
        <v>185</v>
      </c>
      <c r="D54" s="140">
        <v>28500</v>
      </c>
      <c r="E54" s="140">
        <v>40000</v>
      </c>
      <c r="F54" s="141">
        <v>24</v>
      </c>
      <c r="G54" s="142">
        <v>3</v>
      </c>
      <c r="H54" s="141">
        <f>(Table2423256789101112131415[[#This Row],[STOK]]-Table2423256789101112131415[[#This Row],[TERJUAL]])</f>
        <v>21</v>
      </c>
      <c r="I54" s="143">
        <f>(Table2423256789101112131415[HARGA JUAL]*Table2423256789101112131415[TERJUAL])-(Table2423256789101112131415[HARGA POKOK]*Table2423256789101112131415[TERJUAL])</f>
        <v>34500</v>
      </c>
      <c r="J54" s="143">
        <f>(Table2423256789101112131415[HARGA JUAL]*Table2423256789101112131415[TERJUAL])</f>
        <v>120000</v>
      </c>
      <c r="K54" s="143">
        <f>Table2423256789101112131415[HARGA JUAL]*Table2423256789101112131415[SISA]</f>
        <v>840000</v>
      </c>
      <c r="L54" s="144">
        <f>Table2423256789101112131415[HARGA POKOK]*Table2423256789101112131415[STOK]</f>
        <v>684000</v>
      </c>
      <c r="M54" s="144">
        <f>Table2423256789101112131415[HARGA JUAL]*Table2423256789101112131415[STOK]</f>
        <v>960000</v>
      </c>
      <c r="N54" s="145"/>
    </row>
    <row r="55" spans="1:14" x14ac:dyDescent="0.25">
      <c r="A55" s="137">
        <v>49</v>
      </c>
      <c r="B55" s="138" t="s">
        <v>31</v>
      </c>
      <c r="C55" s="138" t="s">
        <v>186</v>
      </c>
      <c r="D55" s="140">
        <v>48500</v>
      </c>
      <c r="E55" s="140">
        <v>65000</v>
      </c>
      <c r="F55" s="141">
        <v>9</v>
      </c>
      <c r="G55" s="142"/>
      <c r="H55" s="141">
        <f>(Table2423256789101112131415[[#This Row],[STOK]]-Table2423256789101112131415[[#This Row],[TERJUAL]])</f>
        <v>9</v>
      </c>
      <c r="I55" s="143">
        <f>(Table2423256789101112131415[HARGA JUAL]*Table2423256789101112131415[TERJUAL])-(Table2423256789101112131415[HARGA POKOK]*Table2423256789101112131415[TERJUAL])</f>
        <v>0</v>
      </c>
      <c r="J55" s="143">
        <f>(Table2423256789101112131415[HARGA JUAL]*Table2423256789101112131415[TERJUAL])</f>
        <v>0</v>
      </c>
      <c r="K55" s="143">
        <f>Table2423256789101112131415[HARGA JUAL]*Table2423256789101112131415[SISA]</f>
        <v>585000</v>
      </c>
      <c r="L55" s="144">
        <f>Table2423256789101112131415[HARGA POKOK]*Table2423256789101112131415[STOK]</f>
        <v>436500</v>
      </c>
      <c r="M55" s="144">
        <f>Table2423256789101112131415[HARGA JUAL]*Table2423256789101112131415[STOK]</f>
        <v>585000</v>
      </c>
      <c r="N55" s="145"/>
    </row>
    <row r="56" spans="1:14" x14ac:dyDescent="0.25">
      <c r="A56" s="137">
        <v>50</v>
      </c>
      <c r="B56" s="138" t="s">
        <v>31</v>
      </c>
      <c r="C56" s="138" t="s">
        <v>187</v>
      </c>
      <c r="D56" s="140">
        <v>47500</v>
      </c>
      <c r="E56" s="140">
        <v>65000</v>
      </c>
      <c r="F56" s="141">
        <v>46</v>
      </c>
      <c r="G56" s="142">
        <v>3</v>
      </c>
      <c r="H56" s="141">
        <f>(Table2423256789101112131415[[#This Row],[STOK]]-Table2423256789101112131415[[#This Row],[TERJUAL]])</f>
        <v>43</v>
      </c>
      <c r="I56" s="143">
        <f>(Table2423256789101112131415[HARGA JUAL]*Table2423256789101112131415[TERJUAL])-(Table2423256789101112131415[HARGA POKOK]*Table2423256789101112131415[TERJUAL])</f>
        <v>52500</v>
      </c>
      <c r="J56" s="143">
        <f>(Table2423256789101112131415[HARGA JUAL]*Table2423256789101112131415[TERJUAL])</f>
        <v>195000</v>
      </c>
      <c r="K56" s="143">
        <f>Table2423256789101112131415[HARGA JUAL]*Table2423256789101112131415[SISA]</f>
        <v>2795000</v>
      </c>
      <c r="L56" s="144">
        <f>Table2423256789101112131415[HARGA POKOK]*Table2423256789101112131415[STOK]</f>
        <v>2185000</v>
      </c>
      <c r="M56" s="144">
        <f>Table2423256789101112131415[HARGA JUAL]*Table2423256789101112131415[STOK]</f>
        <v>2990000</v>
      </c>
      <c r="N56" s="145"/>
    </row>
    <row r="57" spans="1:14" x14ac:dyDescent="0.25">
      <c r="A57" s="137">
        <v>51</v>
      </c>
      <c r="B57" s="138" t="s">
        <v>32</v>
      </c>
      <c r="C57" s="193" t="s">
        <v>18</v>
      </c>
      <c r="D57" s="140">
        <v>1700</v>
      </c>
      <c r="E57" s="140">
        <v>5000</v>
      </c>
      <c r="F57" s="141">
        <v>150</v>
      </c>
      <c r="G57" s="142">
        <v>25</v>
      </c>
      <c r="H57" s="141">
        <f>(Table2423256789101112131415[[#This Row],[STOK]]-Table2423256789101112131415[[#This Row],[TERJUAL]])</f>
        <v>125</v>
      </c>
      <c r="I57" s="143">
        <f>(Table2423256789101112131415[HARGA JUAL]*Table2423256789101112131415[TERJUAL])-(Table2423256789101112131415[HARGA POKOK]*Table2423256789101112131415[TERJUAL])</f>
        <v>82500</v>
      </c>
      <c r="J57" s="143">
        <f>(Table2423256789101112131415[HARGA JUAL]*Table2423256789101112131415[TERJUAL])</f>
        <v>125000</v>
      </c>
      <c r="K57" s="143">
        <f>Table2423256789101112131415[HARGA JUAL]*Table2423256789101112131415[SISA]</f>
        <v>625000</v>
      </c>
      <c r="L57" s="144">
        <f>Table2423256789101112131415[HARGA POKOK]*Table2423256789101112131415[STOK]</f>
        <v>255000</v>
      </c>
      <c r="M57" s="144">
        <f>Table2423256789101112131415[HARGA JUAL]*Table2423256789101112131415[STOK]</f>
        <v>750000</v>
      </c>
      <c r="N57" s="145"/>
    </row>
    <row r="58" spans="1:14" x14ac:dyDescent="0.25">
      <c r="A58" s="137">
        <v>52</v>
      </c>
      <c r="B58" s="138" t="s">
        <v>32</v>
      </c>
      <c r="C58" s="138" t="s">
        <v>21</v>
      </c>
      <c r="D58" s="140">
        <v>30000</v>
      </c>
      <c r="E58" s="140">
        <v>45000</v>
      </c>
      <c r="F58" s="141">
        <v>3</v>
      </c>
      <c r="G58" s="142">
        <v>1</v>
      </c>
      <c r="H58" s="141">
        <f>(Table2423256789101112131415[[#This Row],[STOK]]-Table2423256789101112131415[[#This Row],[TERJUAL]])</f>
        <v>2</v>
      </c>
      <c r="I58" s="143">
        <f>(Table2423256789101112131415[HARGA JUAL]*Table2423256789101112131415[TERJUAL])-(Table2423256789101112131415[HARGA POKOK]*Table2423256789101112131415[TERJUAL])</f>
        <v>15000</v>
      </c>
      <c r="J58" s="143">
        <f>(Table2423256789101112131415[HARGA JUAL]*Table2423256789101112131415[TERJUAL])</f>
        <v>45000</v>
      </c>
      <c r="K58" s="143">
        <f>Table2423256789101112131415[HARGA JUAL]*Table2423256789101112131415[SISA]</f>
        <v>90000</v>
      </c>
      <c r="L58" s="144">
        <f>Table2423256789101112131415[HARGA POKOK]*Table2423256789101112131415[STOK]</f>
        <v>90000</v>
      </c>
      <c r="M58" s="144">
        <f>Table2423256789101112131415[HARGA JUAL]*Table2423256789101112131415[STOK]</f>
        <v>135000</v>
      </c>
      <c r="N58" s="145"/>
    </row>
    <row r="59" spans="1:14" x14ac:dyDescent="0.25">
      <c r="A59" s="137">
        <v>53</v>
      </c>
      <c r="B59" s="138" t="s">
        <v>32</v>
      </c>
      <c r="C59" s="138" t="s">
        <v>20</v>
      </c>
      <c r="D59" s="140">
        <v>1500</v>
      </c>
      <c r="E59" s="140">
        <v>5000</v>
      </c>
      <c r="F59" s="141">
        <v>72</v>
      </c>
      <c r="G59" s="142">
        <v>4</v>
      </c>
      <c r="H59" s="141">
        <f>(Table2423256789101112131415[[#This Row],[STOK]]-Table2423256789101112131415[[#This Row],[TERJUAL]])</f>
        <v>68</v>
      </c>
      <c r="I59" s="143">
        <f>(Table2423256789101112131415[HARGA JUAL]*Table2423256789101112131415[TERJUAL])-(Table2423256789101112131415[HARGA POKOK]*Table2423256789101112131415[TERJUAL])</f>
        <v>14000</v>
      </c>
      <c r="J59" s="143">
        <f>(Table2423256789101112131415[HARGA JUAL]*Table2423256789101112131415[TERJUAL])</f>
        <v>20000</v>
      </c>
      <c r="K59" s="143">
        <f>Table2423256789101112131415[HARGA JUAL]*Table2423256789101112131415[SISA]</f>
        <v>340000</v>
      </c>
      <c r="L59" s="144">
        <f>Table2423256789101112131415[HARGA POKOK]*Table2423256789101112131415[STOK]</f>
        <v>108000</v>
      </c>
      <c r="M59" s="144">
        <f>Table2423256789101112131415[HARGA JUAL]*Table2423256789101112131415[STOK]</f>
        <v>360000</v>
      </c>
      <c r="N59" s="145"/>
    </row>
    <row r="60" spans="1:14" x14ac:dyDescent="0.25">
      <c r="A60" s="137">
        <v>54</v>
      </c>
      <c r="B60" s="138" t="s">
        <v>32</v>
      </c>
      <c r="C60" s="138" t="s">
        <v>23</v>
      </c>
      <c r="D60" s="140">
        <v>30000</v>
      </c>
      <c r="E60" s="140">
        <v>40000</v>
      </c>
      <c r="F60" s="141">
        <v>8</v>
      </c>
      <c r="G60" s="142"/>
      <c r="H60" s="141">
        <f>(Table2423256789101112131415[[#This Row],[STOK]]-Table2423256789101112131415[[#This Row],[TERJUAL]])</f>
        <v>8</v>
      </c>
      <c r="I60" s="143">
        <f>(Table2423256789101112131415[HARGA JUAL]*Table2423256789101112131415[TERJUAL])-(Table2423256789101112131415[HARGA POKOK]*Table2423256789101112131415[TERJUAL])</f>
        <v>0</v>
      </c>
      <c r="J60" s="143">
        <f>(Table2423256789101112131415[HARGA JUAL]*Table2423256789101112131415[TERJUAL])</f>
        <v>0</v>
      </c>
      <c r="K60" s="143">
        <f>Table2423256789101112131415[HARGA JUAL]*Table2423256789101112131415[SISA]</f>
        <v>320000</v>
      </c>
      <c r="L60" s="144">
        <f>Table2423256789101112131415[HARGA POKOK]*Table2423256789101112131415[STOK]</f>
        <v>240000</v>
      </c>
      <c r="M60" s="144">
        <f>Table2423256789101112131415[HARGA JUAL]*Table2423256789101112131415[STOK]</f>
        <v>320000</v>
      </c>
      <c r="N60" s="145"/>
    </row>
    <row r="61" spans="1:14" x14ac:dyDescent="0.25">
      <c r="A61" s="137">
        <v>55</v>
      </c>
      <c r="B61" s="138" t="s">
        <v>32</v>
      </c>
      <c r="C61" s="138" t="s">
        <v>19</v>
      </c>
      <c r="D61" s="140">
        <v>1600</v>
      </c>
      <c r="E61" s="140">
        <v>5000</v>
      </c>
      <c r="F61" s="141">
        <v>245</v>
      </c>
      <c r="G61" s="142">
        <v>22</v>
      </c>
      <c r="H61" s="141">
        <f>(Table2423256789101112131415[[#This Row],[STOK]]-Table2423256789101112131415[[#This Row],[TERJUAL]])</f>
        <v>223</v>
      </c>
      <c r="I61" s="143">
        <f>(Table2423256789101112131415[HARGA JUAL]*Table2423256789101112131415[TERJUAL])-(Table2423256789101112131415[HARGA POKOK]*Table2423256789101112131415[TERJUAL])</f>
        <v>74800</v>
      </c>
      <c r="J61" s="143">
        <f>(Table2423256789101112131415[HARGA JUAL]*Table2423256789101112131415[TERJUAL])</f>
        <v>110000</v>
      </c>
      <c r="K61" s="143">
        <f>Table2423256789101112131415[HARGA JUAL]*Table2423256789101112131415[SISA]</f>
        <v>1115000</v>
      </c>
      <c r="L61" s="144">
        <f>Table2423256789101112131415[HARGA POKOK]*Table2423256789101112131415[STOK]</f>
        <v>392000</v>
      </c>
      <c r="M61" s="144">
        <f>Table2423256789101112131415[HARGA JUAL]*Table2423256789101112131415[STOK]</f>
        <v>1225000</v>
      </c>
      <c r="N61" s="145"/>
    </row>
    <row r="62" spans="1:14" x14ac:dyDescent="0.25">
      <c r="A62" s="137">
        <v>56</v>
      </c>
      <c r="B62" s="138" t="s">
        <v>32</v>
      </c>
      <c r="C62" s="138" t="s">
        <v>22</v>
      </c>
      <c r="D62" s="140">
        <v>30000</v>
      </c>
      <c r="E62" s="140">
        <v>40000</v>
      </c>
      <c r="F62" s="141">
        <v>6</v>
      </c>
      <c r="G62" s="142">
        <v>4</v>
      </c>
      <c r="H62" s="141">
        <f>(Table2423256789101112131415[[#This Row],[STOK]]-Table2423256789101112131415[[#This Row],[TERJUAL]])</f>
        <v>2</v>
      </c>
      <c r="I62" s="143">
        <f>(Table2423256789101112131415[HARGA JUAL]*Table2423256789101112131415[TERJUAL])-(Table2423256789101112131415[HARGA POKOK]*Table2423256789101112131415[TERJUAL])</f>
        <v>40000</v>
      </c>
      <c r="J62" s="143">
        <f>(Table2423256789101112131415[HARGA JUAL]*Table2423256789101112131415[TERJUAL])</f>
        <v>160000</v>
      </c>
      <c r="K62" s="143">
        <f>Table2423256789101112131415[HARGA JUAL]*Table2423256789101112131415[SISA]</f>
        <v>80000</v>
      </c>
      <c r="L62" s="144">
        <f>Table2423256789101112131415[HARGA POKOK]*Table2423256789101112131415[STOK]</f>
        <v>180000</v>
      </c>
      <c r="M62" s="144">
        <f>Table2423256789101112131415[HARGA JUAL]*Table2423256789101112131415[STOK]</f>
        <v>240000</v>
      </c>
      <c r="N62" s="145"/>
    </row>
    <row r="63" spans="1:14" x14ac:dyDescent="0.25">
      <c r="A63" s="137">
        <v>57</v>
      </c>
      <c r="B63" s="138" t="s">
        <v>32</v>
      </c>
      <c r="C63" s="138" t="s">
        <v>24</v>
      </c>
      <c r="D63" s="140">
        <v>17500</v>
      </c>
      <c r="E63" s="140">
        <v>40000</v>
      </c>
      <c r="F63" s="141">
        <v>0</v>
      </c>
      <c r="G63" s="142"/>
      <c r="H63" s="141">
        <f>(Table2423256789101112131415[[#This Row],[STOK]]-Table2423256789101112131415[[#This Row],[TERJUAL]])</f>
        <v>0</v>
      </c>
      <c r="I63" s="143">
        <f>(Table2423256789101112131415[HARGA JUAL]*Table2423256789101112131415[TERJUAL])-(Table2423256789101112131415[HARGA POKOK]*Table2423256789101112131415[TERJUAL])</f>
        <v>0</v>
      </c>
      <c r="J63" s="143">
        <f>(Table2423256789101112131415[HARGA JUAL]*Table2423256789101112131415[TERJUAL])</f>
        <v>0</v>
      </c>
      <c r="K63" s="143">
        <f>Table2423256789101112131415[HARGA JUAL]*Table2423256789101112131415[SISA]</f>
        <v>0</v>
      </c>
      <c r="L63" s="144">
        <f>Table2423256789101112131415[HARGA POKOK]*Table2423256789101112131415[STOK]</f>
        <v>0</v>
      </c>
      <c r="M63" s="144">
        <f>Table2423256789101112131415[HARGA JUAL]*Table2423256789101112131415[STOK]</f>
        <v>0</v>
      </c>
      <c r="N63" s="145"/>
    </row>
    <row r="64" spans="1:14" x14ac:dyDescent="0.25">
      <c r="A64" s="137">
        <v>58</v>
      </c>
      <c r="B64" s="138" t="s">
        <v>144</v>
      </c>
      <c r="C64" s="138" t="s">
        <v>145</v>
      </c>
      <c r="D64" s="140">
        <v>3000</v>
      </c>
      <c r="E64" s="140">
        <v>6000</v>
      </c>
      <c r="F64" s="141">
        <v>90</v>
      </c>
      <c r="G64" s="142">
        <v>6</v>
      </c>
      <c r="H64" s="141">
        <f>(Table2423256789101112131415[[#This Row],[STOK]]-Table2423256789101112131415[[#This Row],[TERJUAL]])</f>
        <v>84</v>
      </c>
      <c r="I64" s="143">
        <f>(Table2423256789101112131415[HARGA JUAL]*Table2423256789101112131415[TERJUAL])-(Table2423256789101112131415[HARGA POKOK]*Table2423256789101112131415[TERJUAL])</f>
        <v>18000</v>
      </c>
      <c r="J64" s="143">
        <f>(Table2423256789101112131415[HARGA JUAL]*Table2423256789101112131415[TERJUAL])</f>
        <v>36000</v>
      </c>
      <c r="K64" s="143">
        <f>Table2423256789101112131415[HARGA JUAL]*Table2423256789101112131415[SISA]</f>
        <v>504000</v>
      </c>
      <c r="L64" s="144">
        <f>Table2423256789101112131415[HARGA POKOK]*Table2423256789101112131415[STOK]</f>
        <v>270000</v>
      </c>
      <c r="M64" s="144">
        <f>Table2423256789101112131415[HARGA JUAL]*Table2423256789101112131415[STOK]</f>
        <v>540000</v>
      </c>
      <c r="N64" s="145"/>
    </row>
    <row r="65" spans="1:15" x14ac:dyDescent="0.25">
      <c r="A65" s="261">
        <v>59</v>
      </c>
      <c r="B65" s="256" t="s">
        <v>290</v>
      </c>
      <c r="C65" s="256" t="s">
        <v>188</v>
      </c>
      <c r="D65" s="262">
        <v>364000</v>
      </c>
      <c r="E65" s="262">
        <v>475000</v>
      </c>
      <c r="F65" s="263">
        <v>206</v>
      </c>
      <c r="G65" s="264">
        <v>76</v>
      </c>
      <c r="H65" s="263">
        <f>(Table2423256789101112131415[[#This Row],[STOK]]-Table2423256789101112131415[[#This Row],[TERJUAL]])</f>
        <v>130</v>
      </c>
      <c r="I65" s="265">
        <f>(Table2423256789101112131415[HARGA JUAL]*Table2423256789101112131415[TERJUAL])-(Table2423256789101112131415[HARGA POKOK]*Table2423256789101112131415[TERJUAL])</f>
        <v>8436000</v>
      </c>
      <c r="J65" s="265">
        <f>(Table2423256789101112131415[HARGA JUAL]*Table2423256789101112131415[TERJUAL])</f>
        <v>36100000</v>
      </c>
      <c r="K65" s="265">
        <f>Table2423256789101112131415[HARGA JUAL]*Table2423256789101112131415[SISA]</f>
        <v>61750000</v>
      </c>
      <c r="L65" s="266">
        <f>Table2423256789101112131415[HARGA POKOK]*Table2423256789101112131415[STOK]</f>
        <v>74984000</v>
      </c>
      <c r="M65" s="266">
        <f>Table2423256789101112131415[HARGA JUAL]*Table2423256789101112131415[STOK]</f>
        <v>97850000</v>
      </c>
      <c r="N65" s="267"/>
    </row>
    <row r="66" spans="1:15" x14ac:dyDescent="0.25">
      <c r="A66" s="137">
        <v>60</v>
      </c>
      <c r="B66" s="138" t="s">
        <v>33</v>
      </c>
      <c r="C66" s="138" t="s">
        <v>189</v>
      </c>
      <c r="D66" s="140">
        <v>452000</v>
      </c>
      <c r="E66" s="140">
        <v>560000</v>
      </c>
      <c r="F66" s="141">
        <v>0</v>
      </c>
      <c r="G66" s="142"/>
      <c r="H66" s="141">
        <f>(Table2423256789101112131415[[#This Row],[STOK]]-Table2423256789101112131415[[#This Row],[TERJUAL]])</f>
        <v>0</v>
      </c>
      <c r="I66" s="143">
        <f>(Table2423256789101112131415[HARGA JUAL]*Table2423256789101112131415[TERJUAL])-(Table2423256789101112131415[HARGA POKOK]*Table2423256789101112131415[TERJUAL])</f>
        <v>0</v>
      </c>
      <c r="J66" s="143">
        <f>(Table2423256789101112131415[HARGA JUAL]*Table2423256789101112131415[TERJUAL])</f>
        <v>0</v>
      </c>
      <c r="K66" s="143">
        <f>Table2423256789101112131415[HARGA JUAL]*Table2423256789101112131415[SISA]</f>
        <v>0</v>
      </c>
      <c r="L66" s="144">
        <f>Table2423256789101112131415[HARGA POKOK]*Table2423256789101112131415[STOK]</f>
        <v>0</v>
      </c>
      <c r="M66" s="144">
        <f>Table2423256789101112131415[HARGA JUAL]*Table2423256789101112131415[STOK]</f>
        <v>0</v>
      </c>
      <c r="N66" s="145"/>
    </row>
    <row r="67" spans="1:15" x14ac:dyDescent="0.25">
      <c r="A67" s="137">
        <v>61</v>
      </c>
      <c r="B67" s="138" t="s">
        <v>192</v>
      </c>
      <c r="C67" s="138" t="s">
        <v>142</v>
      </c>
      <c r="D67" s="140">
        <v>310000</v>
      </c>
      <c r="E67" s="140">
        <v>435000</v>
      </c>
      <c r="F67" s="141">
        <v>0</v>
      </c>
      <c r="G67" s="142"/>
      <c r="H67" s="141">
        <f>(Table2423256789101112131415[[#This Row],[STOK]]-Table2423256789101112131415[[#This Row],[TERJUAL]])</f>
        <v>0</v>
      </c>
      <c r="I67" s="143">
        <f>(Table2423256789101112131415[HARGA JUAL]*Table2423256789101112131415[TERJUAL])-(Table2423256789101112131415[HARGA POKOK]*Table2423256789101112131415[TERJUAL])</f>
        <v>0</v>
      </c>
      <c r="J67" s="143">
        <f>(Table2423256789101112131415[HARGA JUAL]*Table2423256789101112131415[TERJUAL])</f>
        <v>0</v>
      </c>
      <c r="K67" s="143">
        <f>Table2423256789101112131415[HARGA JUAL]*Table2423256789101112131415[SISA]</f>
        <v>0</v>
      </c>
      <c r="L67" s="144">
        <f>Table2423256789101112131415[HARGA POKOK]*Table2423256789101112131415[STOK]</f>
        <v>0</v>
      </c>
      <c r="M67" s="144">
        <f>Table2423256789101112131415[HARGA JUAL]*Table2423256789101112131415[STOK]</f>
        <v>0</v>
      </c>
      <c r="N67" s="145"/>
    </row>
    <row r="68" spans="1:15" x14ac:dyDescent="0.25">
      <c r="A68" s="137">
        <v>62</v>
      </c>
      <c r="B68" s="138" t="s">
        <v>192</v>
      </c>
      <c r="C68" s="138" t="s">
        <v>269</v>
      </c>
      <c r="D68" s="140">
        <v>417000</v>
      </c>
      <c r="E68" s="140">
        <v>470000</v>
      </c>
      <c r="F68" s="141">
        <v>2</v>
      </c>
      <c r="G68" s="142">
        <v>2</v>
      </c>
      <c r="H68" s="141">
        <f>(Table2423256789101112131415[[#This Row],[STOK]]-Table2423256789101112131415[[#This Row],[TERJUAL]])</f>
        <v>0</v>
      </c>
      <c r="I68" s="143">
        <f>(Table2423256789101112131415[HARGA JUAL]*Table2423256789101112131415[TERJUAL])-(Table2423256789101112131415[HARGA POKOK]*Table2423256789101112131415[TERJUAL])</f>
        <v>106000</v>
      </c>
      <c r="J68" s="143">
        <f>(Table2423256789101112131415[HARGA JUAL]*Table2423256789101112131415[TERJUAL])</f>
        <v>940000</v>
      </c>
      <c r="K68" s="143">
        <f>Table2423256789101112131415[HARGA JUAL]*Table2423256789101112131415[SISA]</f>
        <v>0</v>
      </c>
      <c r="L68" s="144">
        <f>Table2423256789101112131415[HARGA POKOK]*Table2423256789101112131415[STOK]</f>
        <v>834000</v>
      </c>
      <c r="M68" s="144">
        <f>Table2423256789101112131415[HARGA JUAL]*Table2423256789101112131415[STOK]</f>
        <v>940000</v>
      </c>
      <c r="N68" s="145"/>
    </row>
    <row r="69" spans="1:15" x14ac:dyDescent="0.25">
      <c r="A69" s="137">
        <v>63</v>
      </c>
      <c r="B69" s="138" t="s">
        <v>193</v>
      </c>
      <c r="C69" s="138" t="s">
        <v>191</v>
      </c>
      <c r="D69" s="140">
        <v>9000</v>
      </c>
      <c r="E69" s="140">
        <v>15000</v>
      </c>
      <c r="F69" s="141">
        <v>70</v>
      </c>
      <c r="G69" s="142">
        <v>13</v>
      </c>
      <c r="H69" s="141">
        <f>(Table2423256789101112131415[[#This Row],[STOK]]-Table2423256789101112131415[[#This Row],[TERJUAL]])</f>
        <v>57</v>
      </c>
      <c r="I69" s="143">
        <f>(Table2423256789101112131415[HARGA JUAL]*Table2423256789101112131415[TERJUAL])-(Table2423256789101112131415[HARGA POKOK]*Table2423256789101112131415[TERJUAL])</f>
        <v>78000</v>
      </c>
      <c r="J69" s="143">
        <f>(Table2423256789101112131415[HARGA JUAL]*Table2423256789101112131415[TERJUAL])</f>
        <v>195000</v>
      </c>
      <c r="K69" s="143">
        <f>Table2423256789101112131415[HARGA JUAL]*Table2423256789101112131415[SISA]</f>
        <v>855000</v>
      </c>
      <c r="L69" s="144">
        <f>Table2423256789101112131415[HARGA POKOK]*Table2423256789101112131415[STOK]</f>
        <v>630000</v>
      </c>
      <c r="M69" s="144">
        <f>Table2423256789101112131415[HARGA JUAL]*Table2423256789101112131415[STOK]</f>
        <v>1050000</v>
      </c>
      <c r="N69" s="145"/>
    </row>
    <row r="70" spans="1:15" x14ac:dyDescent="0.25">
      <c r="A70" s="137">
        <v>64</v>
      </c>
      <c r="B70" s="138" t="s">
        <v>193</v>
      </c>
      <c r="C70" s="138" t="s">
        <v>214</v>
      </c>
      <c r="D70" s="140">
        <v>9000</v>
      </c>
      <c r="E70" s="140">
        <v>15000</v>
      </c>
      <c r="F70" s="141">
        <v>20</v>
      </c>
      <c r="G70" s="142">
        <v>6</v>
      </c>
      <c r="H70" s="141">
        <f>(Table2423256789101112131415[[#This Row],[STOK]]-Table2423256789101112131415[[#This Row],[TERJUAL]])</f>
        <v>14</v>
      </c>
      <c r="I70" s="143">
        <f>(Table2423256789101112131415[HARGA JUAL]*Table2423256789101112131415[TERJUAL])-(Table2423256789101112131415[HARGA POKOK]*Table2423256789101112131415[TERJUAL])</f>
        <v>36000</v>
      </c>
      <c r="J70" s="143">
        <f>(Table2423256789101112131415[HARGA JUAL]*Table2423256789101112131415[TERJUAL])</f>
        <v>90000</v>
      </c>
      <c r="K70" s="143">
        <f>Table2423256789101112131415[HARGA JUAL]*Table2423256789101112131415[SISA]</f>
        <v>210000</v>
      </c>
      <c r="L70" s="144">
        <f>Table2423256789101112131415[HARGA POKOK]*Table2423256789101112131415[STOK]</f>
        <v>180000</v>
      </c>
      <c r="M70" s="144">
        <f>Table2423256789101112131415[HARGA JUAL]*Table2423256789101112131415[STOK]</f>
        <v>300000</v>
      </c>
      <c r="N70" s="145"/>
    </row>
    <row r="71" spans="1:15" x14ac:dyDescent="0.25">
      <c r="A71" s="137">
        <v>65</v>
      </c>
      <c r="B71" s="138" t="s">
        <v>206</v>
      </c>
      <c r="C71" s="138" t="s">
        <v>207</v>
      </c>
      <c r="D71" s="140">
        <v>12000</v>
      </c>
      <c r="E71" s="140">
        <v>28000</v>
      </c>
      <c r="F71" s="141">
        <v>0</v>
      </c>
      <c r="G71" s="142"/>
      <c r="H71" s="141">
        <f>(Table2423256789101112131415[[#This Row],[STOK]]-Table2423256789101112131415[[#This Row],[TERJUAL]])</f>
        <v>0</v>
      </c>
      <c r="I71" s="143">
        <f>(Table2423256789101112131415[HARGA JUAL]*Table2423256789101112131415[TERJUAL])-(Table2423256789101112131415[HARGA POKOK]*Table2423256789101112131415[TERJUAL])</f>
        <v>0</v>
      </c>
      <c r="J71" s="143">
        <f>(Table2423256789101112131415[HARGA JUAL]*Table2423256789101112131415[TERJUAL])</f>
        <v>0</v>
      </c>
      <c r="K71" s="143">
        <f>Table2423256789101112131415[HARGA JUAL]*Table2423256789101112131415[SISA]</f>
        <v>0</v>
      </c>
      <c r="L71" s="144">
        <f>Table2423256789101112131415[HARGA POKOK]*Table2423256789101112131415[STOK]</f>
        <v>0</v>
      </c>
      <c r="M71" s="144">
        <f>Table2423256789101112131415[HARGA JUAL]*Table2423256789101112131415[STOK]</f>
        <v>0</v>
      </c>
      <c r="N71" s="145"/>
    </row>
    <row r="72" spans="1:15" x14ac:dyDescent="0.25">
      <c r="A72" s="137">
        <v>66</v>
      </c>
      <c r="B72" s="138" t="s">
        <v>206</v>
      </c>
      <c r="C72" s="138" t="s">
        <v>208</v>
      </c>
      <c r="D72" s="140">
        <v>21000</v>
      </c>
      <c r="E72" s="140">
        <v>45000</v>
      </c>
      <c r="F72" s="141">
        <v>0</v>
      </c>
      <c r="G72" s="142"/>
      <c r="H72" s="141">
        <f>(Table2423256789101112131415[[#This Row],[STOK]]-Table2423256789101112131415[[#This Row],[TERJUAL]])</f>
        <v>0</v>
      </c>
      <c r="I72" s="143">
        <f>(Table2423256789101112131415[HARGA JUAL]*Table2423256789101112131415[TERJUAL])-(Table2423256789101112131415[HARGA POKOK]*Table2423256789101112131415[TERJUAL])</f>
        <v>0</v>
      </c>
      <c r="J72" s="143">
        <f>(Table2423256789101112131415[HARGA JUAL]*Table2423256789101112131415[TERJUAL])</f>
        <v>0</v>
      </c>
      <c r="K72" s="143">
        <f>Table2423256789101112131415[HARGA JUAL]*Table2423256789101112131415[SISA]</f>
        <v>0</v>
      </c>
      <c r="L72" s="144">
        <f>Table2423256789101112131415[HARGA POKOK]*Table2423256789101112131415[STOK]</f>
        <v>0</v>
      </c>
      <c r="M72" s="144">
        <f>Table2423256789101112131415[HARGA JUAL]*Table2423256789101112131415[STOK]</f>
        <v>0</v>
      </c>
      <c r="N72" s="145"/>
    </row>
    <row r="73" spans="1:15" x14ac:dyDescent="0.25">
      <c r="A73" s="137">
        <v>67</v>
      </c>
      <c r="B73" s="138" t="s">
        <v>209</v>
      </c>
      <c r="C73" s="138" t="s">
        <v>210</v>
      </c>
      <c r="D73" s="140">
        <v>20000</v>
      </c>
      <c r="E73" s="140">
        <v>40000</v>
      </c>
      <c r="F73" s="141">
        <v>4</v>
      </c>
      <c r="G73" s="142">
        <v>1</v>
      </c>
      <c r="H73" s="141">
        <f>(Table2423256789101112131415[[#This Row],[STOK]]-Table2423256789101112131415[[#This Row],[TERJUAL]])</f>
        <v>3</v>
      </c>
      <c r="I73" s="143">
        <f>(Table2423256789101112131415[HARGA JUAL]*Table2423256789101112131415[TERJUAL])-(Table2423256789101112131415[HARGA POKOK]*Table2423256789101112131415[TERJUAL])</f>
        <v>20000</v>
      </c>
      <c r="J73" s="143">
        <f>(Table2423256789101112131415[HARGA JUAL]*Table2423256789101112131415[TERJUAL])</f>
        <v>40000</v>
      </c>
      <c r="K73" s="143">
        <f>Table2423256789101112131415[HARGA JUAL]*Table2423256789101112131415[SISA]</f>
        <v>120000</v>
      </c>
      <c r="L73" s="144">
        <f>Table2423256789101112131415[HARGA POKOK]*Table2423256789101112131415[STOK]</f>
        <v>80000</v>
      </c>
      <c r="M73" s="144">
        <f>Table2423256789101112131415[HARGA JUAL]*Table2423256789101112131415[STOK]</f>
        <v>160000</v>
      </c>
      <c r="N73" s="145"/>
    </row>
    <row r="74" spans="1:15" x14ac:dyDescent="0.25">
      <c r="A74" s="137">
        <v>68</v>
      </c>
      <c r="B74" s="138" t="s">
        <v>209</v>
      </c>
      <c r="C74" s="138" t="s">
        <v>211</v>
      </c>
      <c r="D74" s="140">
        <v>26000</v>
      </c>
      <c r="E74" s="140">
        <v>45000</v>
      </c>
      <c r="F74" s="141">
        <v>5</v>
      </c>
      <c r="G74" s="142">
        <v>2</v>
      </c>
      <c r="H74" s="141">
        <f>(Table2423256789101112131415[[#This Row],[STOK]]-Table2423256789101112131415[[#This Row],[TERJUAL]])</f>
        <v>3</v>
      </c>
      <c r="I74" s="143">
        <f>(Table2423256789101112131415[HARGA JUAL]*Table2423256789101112131415[TERJUAL])-(Table2423256789101112131415[HARGA POKOK]*Table2423256789101112131415[TERJUAL])</f>
        <v>38000</v>
      </c>
      <c r="J74" s="143">
        <f>(Table2423256789101112131415[HARGA JUAL]*Table2423256789101112131415[TERJUAL])</f>
        <v>90000</v>
      </c>
      <c r="K74" s="143">
        <f>Table2423256789101112131415[HARGA JUAL]*Table2423256789101112131415[SISA]</f>
        <v>135000</v>
      </c>
      <c r="L74" s="144">
        <f>Table2423256789101112131415[HARGA POKOK]*Table2423256789101112131415[STOK]</f>
        <v>130000</v>
      </c>
      <c r="M74" s="144">
        <f>Table2423256789101112131415[HARGA JUAL]*Table2423256789101112131415[STOK]</f>
        <v>225000</v>
      </c>
      <c r="N74" s="145"/>
    </row>
    <row r="75" spans="1:15" x14ac:dyDescent="0.25">
      <c r="A75" s="137">
        <v>69</v>
      </c>
      <c r="B75" s="138" t="s">
        <v>212</v>
      </c>
      <c r="C75" s="138" t="s">
        <v>213</v>
      </c>
      <c r="D75" s="140">
        <v>600000</v>
      </c>
      <c r="E75" s="140">
        <v>800000</v>
      </c>
      <c r="F75" s="141">
        <v>1</v>
      </c>
      <c r="G75" s="142"/>
      <c r="H75" s="141">
        <f>(Table2423256789101112131415[[#This Row],[STOK]]-Table2423256789101112131415[[#This Row],[TERJUAL]])</f>
        <v>1</v>
      </c>
      <c r="I75" s="143">
        <f>(Table2423256789101112131415[HARGA JUAL]*Table2423256789101112131415[TERJUAL])-(Table2423256789101112131415[HARGA POKOK]*Table2423256789101112131415[TERJUAL])</f>
        <v>0</v>
      </c>
      <c r="J75" s="143">
        <f>(Table2423256789101112131415[HARGA JUAL]*Table2423256789101112131415[TERJUAL])</f>
        <v>0</v>
      </c>
      <c r="K75" s="143">
        <f>Table2423256789101112131415[HARGA JUAL]*Table2423256789101112131415[SISA]</f>
        <v>800000</v>
      </c>
      <c r="L75" s="144">
        <f>Table2423256789101112131415[HARGA POKOK]*Table2423256789101112131415[STOK]</f>
        <v>600000</v>
      </c>
      <c r="M75" s="144">
        <f>Table2423256789101112131415[HARGA JUAL]*Table2423256789101112131415[STOK]</f>
        <v>800000</v>
      </c>
      <c r="N75" s="145"/>
    </row>
    <row r="76" spans="1:15" x14ac:dyDescent="0.25">
      <c r="A76" s="192">
        <v>70</v>
      </c>
      <c r="B76" s="193" t="s">
        <v>194</v>
      </c>
      <c r="C76" s="193" t="s">
        <v>194</v>
      </c>
      <c r="D76" s="194">
        <v>30000</v>
      </c>
      <c r="E76" s="194">
        <v>40000</v>
      </c>
      <c r="F76" s="195">
        <v>14</v>
      </c>
      <c r="G76" s="196">
        <v>2</v>
      </c>
      <c r="H76" s="195">
        <f>(Table2423256789101112131415[[#This Row],[STOK]]-Table2423256789101112131415[[#This Row],[TERJUAL]])</f>
        <v>12</v>
      </c>
      <c r="I76" s="197">
        <f>(Table2423256789101112131415[HARGA JUAL]*Table2423256789101112131415[TERJUAL])-(Table2423256789101112131415[HARGA POKOK]*Table2423256789101112131415[TERJUAL])</f>
        <v>20000</v>
      </c>
      <c r="J76" s="197">
        <f>(Table2423256789101112131415[HARGA JUAL]*Table2423256789101112131415[TERJUAL])</f>
        <v>80000</v>
      </c>
      <c r="K76" s="197"/>
      <c r="L76" s="198"/>
      <c r="M76" s="198"/>
      <c r="N76" s="199"/>
    </row>
    <row r="77" spans="1:15" x14ac:dyDescent="0.25">
      <c r="A77" s="137">
        <v>71</v>
      </c>
      <c r="B77" s="146" t="s">
        <v>195</v>
      </c>
      <c r="C77" s="146" t="s">
        <v>195</v>
      </c>
      <c r="D77" s="147">
        <v>30000</v>
      </c>
      <c r="E77" s="147">
        <v>40000</v>
      </c>
      <c r="F77" s="148">
        <v>15</v>
      </c>
      <c r="G77" s="149"/>
      <c r="H77" s="148">
        <f>(Table2423256789101112131415[[#This Row],[STOK]]-Table2423256789101112131415[[#This Row],[TERJUAL]])</f>
        <v>15</v>
      </c>
      <c r="I77" s="150">
        <f>(Table2423256789101112131415[HARGA JUAL]*Table2423256789101112131415[TERJUAL])-(Table2423256789101112131415[HARGA POKOK]*Table2423256789101112131415[TERJUAL])</f>
        <v>0</v>
      </c>
      <c r="J77" s="150">
        <f>(Table2423256789101112131415[HARGA JUAL]*Table2423256789101112131415[TERJUAL])</f>
        <v>0</v>
      </c>
      <c r="K77" s="150">
        <f>Table2423256789101112131415[HARGA JUAL]*Table2423256789101112131415[SISA]</f>
        <v>600000</v>
      </c>
      <c r="L77" s="151">
        <f>Table2423256789101112131415[HARGA POKOK]*Table2423256789101112131415[STOK]</f>
        <v>450000</v>
      </c>
      <c r="M77" s="151">
        <f>Table2423256789101112131415[HARGA JUAL]*Table2423256789101112131415[STOK]</f>
        <v>600000</v>
      </c>
      <c r="N77" s="152"/>
    </row>
    <row r="78" spans="1:15" x14ac:dyDescent="0.25">
      <c r="A78" s="192">
        <v>72</v>
      </c>
      <c r="B78" s="193" t="s">
        <v>215</v>
      </c>
      <c r="C78" s="193" t="s">
        <v>215</v>
      </c>
      <c r="D78" s="194">
        <v>310000</v>
      </c>
      <c r="E78" s="194">
        <v>410000</v>
      </c>
      <c r="F78" s="195">
        <v>4</v>
      </c>
      <c r="G78" s="196">
        <v>1</v>
      </c>
      <c r="H78" s="195">
        <f>(Table2423256789101112131415[[#This Row],[STOK]]-Table2423256789101112131415[[#This Row],[TERJUAL]])</f>
        <v>3</v>
      </c>
      <c r="I78" s="197">
        <f>(Table2423256789101112131415[HARGA JUAL]*Table2423256789101112131415[TERJUAL])-(Table2423256789101112131415[HARGA POKOK]*Table2423256789101112131415[TERJUAL])</f>
        <v>100000</v>
      </c>
      <c r="J78" s="197">
        <f>(Table2423256789101112131415[HARGA JUAL]*Table2423256789101112131415[TERJUAL])</f>
        <v>410000</v>
      </c>
      <c r="K78" s="197">
        <f>Table2423256789101112131415[HARGA JUAL]*Table2423256789101112131415[SISA]</f>
        <v>1230000</v>
      </c>
      <c r="L78" s="198">
        <f>Table2423256789101112131415[HARGA POKOK]*Table2423256789101112131415[STOK]</f>
        <v>1240000</v>
      </c>
      <c r="M78" s="198">
        <f>Table2423256789101112131415[HARGA JUAL]*Table2423256789101112131415[STOK]</f>
        <v>1640000</v>
      </c>
      <c r="N78" s="199"/>
    </row>
    <row r="79" spans="1:15" s="180" customFormat="1" x14ac:dyDescent="0.25">
      <c r="A79" s="137">
        <v>73</v>
      </c>
      <c r="B79" s="153" t="s">
        <v>212</v>
      </c>
      <c r="C79" s="153" t="s">
        <v>213</v>
      </c>
      <c r="D79" s="154">
        <v>6000</v>
      </c>
      <c r="E79" s="154">
        <v>8000</v>
      </c>
      <c r="F79" s="155"/>
      <c r="G79" s="178"/>
      <c r="H79" s="155">
        <f>(Table2423256789101112131415[[#This Row],[STOK]]-Table2423256789101112131415[[#This Row],[TERJUAL]])</f>
        <v>0</v>
      </c>
      <c r="I79" s="157">
        <f>(Table2423256789101112131415[HARGA JUAL]*Table2423256789101112131415[TERJUAL])-(Table2423256789101112131415[HARGA POKOK]*Table2423256789101112131415[TERJUAL])</f>
        <v>0</v>
      </c>
      <c r="J79" s="157">
        <f>(Table2423256789101112131415[HARGA JUAL]*Table2423256789101112131415[TERJUAL])</f>
        <v>0</v>
      </c>
      <c r="K79" s="157"/>
      <c r="L79" s="158"/>
      <c r="M79" s="158"/>
      <c r="N79" s="179"/>
      <c r="O79" s="201"/>
    </row>
    <row r="80" spans="1:15" s="180" customFormat="1" x14ac:dyDescent="0.25">
      <c r="A80" s="137">
        <v>74</v>
      </c>
      <c r="B80" s="153" t="s">
        <v>71</v>
      </c>
      <c r="C80" s="153" t="s">
        <v>194</v>
      </c>
      <c r="D80" s="154">
        <v>1200</v>
      </c>
      <c r="E80" s="154">
        <v>2000</v>
      </c>
      <c r="F80" s="155"/>
      <c r="G80" s="156">
        <v>22</v>
      </c>
      <c r="H80" s="155">
        <f>(Table2423256789101112131415[[#This Row],[STOK]]-Table2423256789101112131415[[#This Row],[TERJUAL]])</f>
        <v>-22</v>
      </c>
      <c r="I80" s="157">
        <f>(Table2423256789101112131415[HARGA JUAL]*Table2423256789101112131415[TERJUAL])-(Table2423256789101112131415[HARGA POKOK]*Table2423256789101112131415[TERJUAL])</f>
        <v>17600</v>
      </c>
      <c r="J80" s="157">
        <f>(Table2423256789101112131415[HARGA JUAL]*Table2423256789101112131415[TERJUAL])</f>
        <v>44000</v>
      </c>
      <c r="K80" s="157"/>
      <c r="L80" s="158"/>
      <c r="M80" s="158"/>
      <c r="N80" s="179"/>
      <c r="O80" s="201"/>
    </row>
    <row r="81" spans="1:15" s="180" customFormat="1" x14ac:dyDescent="0.25">
      <c r="A81" s="137">
        <v>75</v>
      </c>
      <c r="B81" s="153" t="s">
        <v>71</v>
      </c>
      <c r="C81" s="153" t="s">
        <v>195</v>
      </c>
      <c r="D81" s="154">
        <v>700</v>
      </c>
      <c r="E81" s="154">
        <v>1500</v>
      </c>
      <c r="F81" s="155"/>
      <c r="G81" s="156"/>
      <c r="H81" s="155">
        <f>(Table2423256789101112131415[[#This Row],[STOK]]-Table2423256789101112131415[[#This Row],[TERJUAL]])</f>
        <v>0</v>
      </c>
      <c r="I81" s="157">
        <f>(Table2423256789101112131415[HARGA JUAL]*Table2423256789101112131415[TERJUAL])-(Table2423256789101112131415[HARGA POKOK]*Table2423256789101112131415[TERJUAL])</f>
        <v>0</v>
      </c>
      <c r="J81" s="157">
        <f>(Table2423256789101112131415[HARGA JUAL]*Table2423256789101112131415[TERJUAL])</f>
        <v>0</v>
      </c>
      <c r="K81" s="157"/>
      <c r="L81" s="158"/>
      <c r="M81" s="158"/>
      <c r="N81" s="179"/>
      <c r="O81" s="201"/>
    </row>
    <row r="82" spans="1:15" s="201" customFormat="1" x14ac:dyDescent="0.25">
      <c r="A82" s="261">
        <v>76</v>
      </c>
      <c r="B82" s="256" t="s">
        <v>68</v>
      </c>
      <c r="C82" s="256" t="s">
        <v>69</v>
      </c>
      <c r="D82" s="268">
        <v>7300</v>
      </c>
      <c r="E82" s="262">
        <v>10000</v>
      </c>
      <c r="F82" s="263"/>
      <c r="G82" s="269">
        <v>1466</v>
      </c>
      <c r="H82" s="263">
        <f>(Table2423256789101112131415[[#This Row],[STOK]]-Table2423256789101112131415[[#This Row],[TERJUAL]])</f>
        <v>-1466</v>
      </c>
      <c r="I82" s="265">
        <f>(Table2423256789101112131415[HARGA JUAL]*Table2423256789101112131415[TERJUAL])-(Table2423256789101112131415[HARGA POKOK]*Table2423256789101112131415[TERJUAL])</f>
        <v>3958200</v>
      </c>
      <c r="J82" s="265">
        <f>(Table2423256789101112131415[HARGA JUAL]*Table2423256789101112131415[TERJUAL])</f>
        <v>14660000</v>
      </c>
      <c r="K82" s="265"/>
      <c r="L82" s="266"/>
      <c r="M82" s="266"/>
      <c r="N82" s="267"/>
    </row>
    <row r="83" spans="1:15" s="180" customFormat="1" x14ac:dyDescent="0.25">
      <c r="A83" s="137">
        <v>77</v>
      </c>
      <c r="B83" s="153" t="s">
        <v>173</v>
      </c>
      <c r="C83" s="153" t="s">
        <v>174</v>
      </c>
      <c r="D83" s="159">
        <v>9040</v>
      </c>
      <c r="E83" s="154">
        <v>12000</v>
      </c>
      <c r="F83" s="155"/>
      <c r="G83" s="156">
        <v>5</v>
      </c>
      <c r="H83" s="155">
        <f>(Table2423256789101112131415[[#This Row],[STOK]]-Table2423256789101112131415[[#This Row],[TERJUAL]])</f>
        <v>-5</v>
      </c>
      <c r="I83" s="157">
        <f>(Table2423256789101112131415[HARGA JUAL]*Table2423256789101112131415[TERJUAL])-(Table2423256789101112131415[HARGA POKOK]*Table2423256789101112131415[TERJUAL])</f>
        <v>14800</v>
      </c>
      <c r="J83" s="157">
        <f>(Table2423256789101112131415[HARGA JUAL]*Table2423256789101112131415[TERJUAL])</f>
        <v>60000</v>
      </c>
      <c r="K83" s="157"/>
      <c r="L83" s="158"/>
      <c r="M83" s="158"/>
      <c r="N83" s="179"/>
      <c r="O83" s="201"/>
    </row>
    <row r="84" spans="1:15" s="180" customFormat="1" x14ac:dyDescent="0.25">
      <c r="A84" s="137">
        <v>78</v>
      </c>
      <c r="B84" s="153" t="s">
        <v>146</v>
      </c>
      <c r="C84" s="153" t="s">
        <v>152</v>
      </c>
      <c r="D84" s="159">
        <v>6200</v>
      </c>
      <c r="E84" s="154">
        <v>10000</v>
      </c>
      <c r="F84" s="155"/>
      <c r="G84" s="160"/>
      <c r="H84" s="155">
        <f>(Table2423256789101112131415[[#This Row],[STOK]]-Table2423256789101112131415[[#This Row],[TERJUAL]])</f>
        <v>0</v>
      </c>
      <c r="I84" s="157">
        <f>(Table2423256789101112131415[HARGA JUAL]*Table2423256789101112131415[TERJUAL])-(Table2423256789101112131415[HARGA POKOK]*Table2423256789101112131415[TERJUAL])</f>
        <v>0</v>
      </c>
      <c r="J84" s="157">
        <f>(Table2423256789101112131415[HARGA JUAL]*Table2423256789101112131415[TERJUAL])</f>
        <v>0</v>
      </c>
      <c r="K84" s="157"/>
      <c r="L84" s="158"/>
      <c r="M84" s="158"/>
      <c r="N84" s="179"/>
      <c r="O84" s="201"/>
    </row>
    <row r="85" spans="1:15" s="180" customFormat="1" x14ac:dyDescent="0.25">
      <c r="A85" s="137">
        <v>79</v>
      </c>
      <c r="B85" s="153" t="s">
        <v>147</v>
      </c>
      <c r="C85" s="153" t="s">
        <v>153</v>
      </c>
      <c r="D85" s="159">
        <v>5600</v>
      </c>
      <c r="E85" s="154">
        <v>10000</v>
      </c>
      <c r="F85" s="155"/>
      <c r="G85" s="160"/>
      <c r="H85" s="155">
        <f>(Table2423256789101112131415[[#This Row],[STOK]]-Table2423256789101112131415[[#This Row],[TERJUAL]])</f>
        <v>0</v>
      </c>
      <c r="I85" s="157">
        <f>(Table2423256789101112131415[HARGA JUAL]*Table2423256789101112131415[TERJUAL])-(Table2423256789101112131415[HARGA POKOK]*Table2423256789101112131415[TERJUAL])</f>
        <v>0</v>
      </c>
      <c r="J85" s="157">
        <f>(Table2423256789101112131415[HARGA JUAL]*Table2423256789101112131415[TERJUAL])</f>
        <v>0</v>
      </c>
      <c r="K85" s="157"/>
      <c r="L85" s="158"/>
      <c r="M85" s="158"/>
      <c r="N85" s="179"/>
      <c r="O85" s="201"/>
    </row>
    <row r="86" spans="1:15" s="180" customFormat="1" x14ac:dyDescent="0.25">
      <c r="A86" s="137">
        <v>80</v>
      </c>
      <c r="B86" s="167" t="s">
        <v>31</v>
      </c>
      <c r="C86" s="167" t="s">
        <v>282</v>
      </c>
      <c r="D86" s="168">
        <v>3000</v>
      </c>
      <c r="E86" s="169">
        <v>5000</v>
      </c>
      <c r="F86" s="170"/>
      <c r="G86" s="171">
        <v>4</v>
      </c>
      <c r="H86" s="172">
        <f>(Table2423256789101112131415[[#This Row],[STOK]]-Table2423256789101112131415[[#This Row],[TERJUAL]])</f>
        <v>-4</v>
      </c>
      <c r="I86" s="173">
        <f>(Table2423256789101112131415[HARGA JUAL]*Table2423256789101112131415[TERJUAL])-(Table2423256789101112131415[HARGA POKOK]*Table2423256789101112131415[TERJUAL])</f>
        <v>8000</v>
      </c>
      <c r="J86" s="173">
        <f>(Table2423256789101112131415[HARGA JUAL]*Table2423256789101112131415[TERJUAL])</f>
        <v>20000</v>
      </c>
      <c r="K86" s="173"/>
      <c r="L86" s="174"/>
      <c r="M86" s="174"/>
      <c r="N86" s="181"/>
      <c r="O86" s="201"/>
    </row>
    <row r="87" spans="1:15" s="180" customFormat="1" x14ac:dyDescent="0.25">
      <c r="A87" s="255"/>
      <c r="B87" s="167" t="s">
        <v>31</v>
      </c>
      <c r="C87" s="167" t="s">
        <v>283</v>
      </c>
      <c r="D87" s="168">
        <v>3000</v>
      </c>
      <c r="E87" s="169">
        <v>5000</v>
      </c>
      <c r="F87" s="170"/>
      <c r="G87" s="171">
        <v>1</v>
      </c>
      <c r="H87" s="172">
        <f>(Table2423256789101112131415[[#This Row],[STOK]]-Table2423256789101112131415[[#This Row],[TERJUAL]])</f>
        <v>-1</v>
      </c>
      <c r="I87" s="173">
        <f>(Table2423256789101112131415[HARGA JUAL]*Table2423256789101112131415[TERJUAL])-(Table2423256789101112131415[HARGA POKOK]*Table2423256789101112131415[TERJUAL])</f>
        <v>2000</v>
      </c>
      <c r="J87" s="173">
        <f>(Table2423256789101112131415[HARGA JUAL]*Table2423256789101112131415[TERJUAL])</f>
        <v>5000</v>
      </c>
      <c r="K87" s="173"/>
      <c r="L87" s="174">
        <f>Table2423256789101112131415[HARGA POKOK]*Table2423256789101112131415[STOK]</f>
        <v>0</v>
      </c>
      <c r="M87" s="174">
        <f>Table2423256789101112131415[HARGA JUAL]*Table2423256789101112131415[STOK]</f>
        <v>0</v>
      </c>
      <c r="N87" s="181"/>
      <c r="O87" s="201"/>
    </row>
    <row r="88" spans="1:15" s="180" customFormat="1" x14ac:dyDescent="0.25">
      <c r="A88" s="255"/>
      <c r="B88" s="167" t="s">
        <v>31</v>
      </c>
      <c r="C88" s="167" t="s">
        <v>284</v>
      </c>
      <c r="D88" s="168">
        <v>3000</v>
      </c>
      <c r="E88" s="169">
        <v>5000</v>
      </c>
      <c r="F88" s="170"/>
      <c r="G88" s="171">
        <v>2</v>
      </c>
      <c r="H88" s="172">
        <f>(Table2423256789101112131415[[#This Row],[STOK]]-Table2423256789101112131415[[#This Row],[TERJUAL]])</f>
        <v>-2</v>
      </c>
      <c r="I88" s="173">
        <f>(Table2423256789101112131415[HARGA JUAL]*Table2423256789101112131415[TERJUAL])-(Table2423256789101112131415[HARGA POKOK]*Table2423256789101112131415[TERJUAL])</f>
        <v>4000</v>
      </c>
      <c r="J88" s="173">
        <f>(Table2423256789101112131415[HARGA JUAL]*Table2423256789101112131415[TERJUAL])</f>
        <v>10000</v>
      </c>
      <c r="K88" s="173"/>
      <c r="L88" s="174">
        <f>Table2423256789101112131415[HARGA POKOK]*Table2423256789101112131415[STOK]</f>
        <v>0</v>
      </c>
      <c r="M88" s="174">
        <f>Table2423256789101112131415[HARGA JUAL]*Table2423256789101112131415[STOK]</f>
        <v>0</v>
      </c>
      <c r="N88" s="181"/>
      <c r="O88" s="201"/>
    </row>
    <row r="89" spans="1:15" ht="18.75" x14ac:dyDescent="0.25">
      <c r="A89" s="404" t="s">
        <v>8</v>
      </c>
      <c r="B89" s="404"/>
      <c r="C89" s="404"/>
      <c r="D89" s="404"/>
      <c r="E89" s="404"/>
      <c r="F89" s="39"/>
      <c r="G89" s="39"/>
      <c r="H89" s="40"/>
      <c r="I89" s="175">
        <f>SUM(I5:I88)</f>
        <v>16949400</v>
      </c>
      <c r="J89" s="176">
        <f>SUM(J5:J88)</f>
        <v>70422000</v>
      </c>
      <c r="K89" s="41">
        <f>SUBTOTAL(109,Table2423256789101112131415[TOTAL HARGA SISA BARANG])</f>
        <v>205363000</v>
      </c>
      <c r="L89" s="177">
        <f>SUM(L5:L88)</f>
        <v>200068000</v>
      </c>
      <c r="M89" s="42">
        <f>SUM(M5:M69)</f>
        <v>257181000</v>
      </c>
      <c r="N89" s="145"/>
    </row>
    <row r="90" spans="1:15" x14ac:dyDescent="0.25">
      <c r="B90" s="1"/>
      <c r="C90" s="3"/>
      <c r="G90" s="1"/>
      <c r="H90" s="11"/>
      <c r="I90" s="6"/>
      <c r="J90" s="6"/>
      <c r="K90" s="6"/>
      <c r="L90" s="1"/>
      <c r="M90" s="1"/>
    </row>
    <row r="91" spans="1:15" x14ac:dyDescent="0.25">
      <c r="A91" s="165" t="s">
        <v>241</v>
      </c>
      <c r="B91" s="28"/>
      <c r="C91" s="28"/>
      <c r="E91" s="386" t="s">
        <v>301</v>
      </c>
      <c r="F91" s="386"/>
      <c r="G91" s="386"/>
      <c r="H91" s="386"/>
      <c r="I91" s="386"/>
      <c r="J91" s="386"/>
      <c r="K91" s="259"/>
      <c r="L91" s="1"/>
      <c r="M91" s="1"/>
    </row>
    <row r="92" spans="1:15" x14ac:dyDescent="0.25">
      <c r="A92" s="165" t="s">
        <v>198</v>
      </c>
      <c r="B92" s="28"/>
      <c r="C92" s="28"/>
      <c r="E92" s="161"/>
      <c r="F92" s="161"/>
      <c r="G92" s="387"/>
      <c r="H92" s="387"/>
      <c r="I92" s="28"/>
      <c r="J92" s="28"/>
      <c r="K92" s="28"/>
      <c r="L92" s="7"/>
    </row>
    <row r="93" spans="1:15" x14ac:dyDescent="0.25">
      <c r="A93" s="165" t="s">
        <v>199</v>
      </c>
      <c r="B93" s="1"/>
      <c r="C93" s="3"/>
      <c r="E93" s="161"/>
      <c r="F93" s="161"/>
      <c r="G93" s="94"/>
      <c r="H93" s="94"/>
      <c r="I93" s="28"/>
      <c r="J93" s="28"/>
      <c r="K93" s="28"/>
      <c r="L93" s="28"/>
    </row>
    <row r="94" spans="1:15" x14ac:dyDescent="0.25">
      <c r="A94" s="165" t="s">
        <v>200</v>
      </c>
      <c r="E94" s="43" t="s">
        <v>82</v>
      </c>
      <c r="F94" s="44"/>
      <c r="G94" s="390">
        <f>SUBTOTAL(109,Table2423256789101112131415[TOTAL H. B. LAKU TERJUAL])</f>
        <v>70422000</v>
      </c>
      <c r="H94" s="390"/>
      <c r="I94" s="390"/>
      <c r="J94" s="43"/>
      <c r="K94" s="7"/>
      <c r="L94" s="27"/>
      <c r="M94" s="1"/>
    </row>
    <row r="95" spans="1:15" x14ac:dyDescent="0.25">
      <c r="A95" s="165" t="s">
        <v>302</v>
      </c>
      <c r="C95" s="1"/>
      <c r="E95" s="43"/>
      <c r="F95" s="44"/>
      <c r="G95" s="260"/>
      <c r="H95" s="260"/>
      <c r="I95" s="260"/>
      <c r="J95" s="43"/>
      <c r="K95" s="7"/>
      <c r="L95" s="27"/>
      <c r="M95" s="1"/>
    </row>
    <row r="96" spans="1:15" x14ac:dyDescent="0.25">
      <c r="A96" s="407" t="s">
        <v>0</v>
      </c>
      <c r="B96" s="406" t="s">
        <v>275</v>
      </c>
      <c r="C96" s="406"/>
      <c r="E96" s="43" t="s">
        <v>83</v>
      </c>
      <c r="F96" s="45" t="s">
        <v>84</v>
      </c>
      <c r="G96" s="391">
        <v>1658000</v>
      </c>
      <c r="H96" s="391"/>
      <c r="I96" s="391"/>
      <c r="J96" s="43"/>
      <c r="K96" s="7"/>
      <c r="L96" s="27"/>
      <c r="M96" s="1"/>
    </row>
    <row r="97" spans="1:13" x14ac:dyDescent="0.25">
      <c r="A97" s="407"/>
      <c r="B97" s="225" t="s">
        <v>276</v>
      </c>
      <c r="C97" s="228" t="s">
        <v>277</v>
      </c>
      <c r="E97" s="43" t="s">
        <v>8</v>
      </c>
      <c r="F97" s="43"/>
      <c r="G97" s="392">
        <v>68764000</v>
      </c>
      <c r="H97" s="392"/>
      <c r="I97" s="392"/>
      <c r="J97" s="43"/>
      <c r="K97" s="7"/>
      <c r="L97" s="27"/>
      <c r="M97" s="1"/>
    </row>
    <row r="98" spans="1:13" x14ac:dyDescent="0.25">
      <c r="A98" s="145"/>
      <c r="B98" s="228">
        <v>76</v>
      </c>
      <c r="C98" s="228">
        <v>30</v>
      </c>
      <c r="M98" s="1"/>
    </row>
    <row r="99" spans="1:13" x14ac:dyDescent="0.25">
      <c r="A99" s="7"/>
      <c r="B99" s="272"/>
      <c r="C99" s="272"/>
      <c r="M99" s="1"/>
    </row>
    <row r="100" spans="1:13" x14ac:dyDescent="0.25">
      <c r="A100" s="7"/>
      <c r="B100" s="272"/>
      <c r="C100" s="272"/>
      <c r="M100" s="1"/>
    </row>
    <row r="101" spans="1:13" x14ac:dyDescent="0.25">
      <c r="A101" s="7"/>
      <c r="B101" s="272"/>
      <c r="C101" s="272"/>
      <c r="M101" s="1"/>
    </row>
    <row r="102" spans="1:13" x14ac:dyDescent="0.25">
      <c r="A102" s="7"/>
      <c r="B102" s="272"/>
      <c r="C102" s="272"/>
      <c r="M102" s="1"/>
    </row>
    <row r="103" spans="1:13" x14ac:dyDescent="0.25">
      <c r="A103" s="7"/>
      <c r="B103" s="272"/>
      <c r="C103" s="272"/>
      <c r="M103" s="1"/>
    </row>
    <row r="104" spans="1:13" x14ac:dyDescent="0.25">
      <c r="A104" s="7"/>
      <c r="B104" s="272"/>
      <c r="C104" s="272"/>
      <c r="M104" s="1"/>
    </row>
    <row r="105" spans="1:13" x14ac:dyDescent="0.25">
      <c r="A105" s="7"/>
      <c r="B105" s="272"/>
      <c r="C105" s="272"/>
      <c r="M105" s="1"/>
    </row>
    <row r="106" spans="1:13" x14ac:dyDescent="0.25">
      <c r="A106" s="7"/>
      <c r="B106" s="272"/>
      <c r="C106" s="272"/>
      <c r="M106" s="1"/>
    </row>
    <row r="107" spans="1:13" x14ac:dyDescent="0.25">
      <c r="A107" s="7"/>
      <c r="B107" s="272"/>
      <c r="C107" s="272"/>
      <c r="M107" s="1"/>
    </row>
    <row r="108" spans="1:13" x14ac:dyDescent="0.25">
      <c r="A108" s="7"/>
      <c r="B108" s="272"/>
      <c r="C108" s="272"/>
      <c r="M108" s="1"/>
    </row>
    <row r="109" spans="1:13" x14ac:dyDescent="0.25">
      <c r="A109" s="7"/>
      <c r="B109" s="272"/>
      <c r="C109" s="272"/>
      <c r="M109" s="1"/>
    </row>
    <row r="110" spans="1:13" ht="18.75" x14ac:dyDescent="0.3">
      <c r="A110" s="360" t="s">
        <v>99</v>
      </c>
      <c r="B110" s="360"/>
      <c r="C110" s="360"/>
      <c r="D110" s="360"/>
    </row>
    <row r="111" spans="1:13" ht="18.75" x14ac:dyDescent="0.3">
      <c r="A111" s="360" t="s">
        <v>286</v>
      </c>
      <c r="B111" s="360"/>
      <c r="C111" s="360"/>
      <c r="D111" s="360"/>
    </row>
    <row r="112" spans="1:13" ht="18.75" x14ac:dyDescent="0.3">
      <c r="A112" s="360" t="s">
        <v>75</v>
      </c>
      <c r="B112" s="360"/>
      <c r="C112" s="360"/>
      <c r="D112" s="360"/>
    </row>
    <row r="113" spans="1:12" ht="15.75" x14ac:dyDescent="0.25">
      <c r="A113" s="356" t="s">
        <v>111</v>
      </c>
      <c r="B113" s="357"/>
      <c r="C113" s="356" t="s">
        <v>77</v>
      </c>
      <c r="D113" s="357"/>
      <c r="E113" s="7"/>
    </row>
    <row r="114" spans="1:12" ht="15.75" x14ac:dyDescent="0.25">
      <c r="A114" s="257" t="s">
        <v>103</v>
      </c>
      <c r="B114" s="258"/>
      <c r="C114" s="46"/>
      <c r="D114" s="203">
        <v>68764000</v>
      </c>
      <c r="E114" s="218"/>
    </row>
    <row r="115" spans="1:12" ht="15.75" x14ac:dyDescent="0.25">
      <c r="A115" s="354" t="s">
        <v>102</v>
      </c>
      <c r="B115" s="355"/>
      <c r="C115" s="46"/>
      <c r="D115" s="204"/>
      <c r="E115" s="219"/>
    </row>
    <row r="116" spans="1:12" ht="15.75" x14ac:dyDescent="0.25">
      <c r="A116" s="356" t="s">
        <v>104</v>
      </c>
      <c r="B116" s="357"/>
      <c r="C116" s="46"/>
      <c r="D116" s="203"/>
      <c r="E116" s="219"/>
    </row>
    <row r="117" spans="1:12" ht="15.75" x14ac:dyDescent="0.25">
      <c r="A117" s="350" t="s">
        <v>106</v>
      </c>
      <c r="B117" s="351"/>
      <c r="C117" s="46"/>
      <c r="D117" s="204">
        <v>51814600</v>
      </c>
      <c r="E117" s="219"/>
      <c r="F117" s="220"/>
      <c r="G117" s="220"/>
      <c r="H117" s="221"/>
      <c r="I117" s="222"/>
    </row>
    <row r="118" spans="1:12" ht="15.75" x14ac:dyDescent="0.25">
      <c r="A118" s="358" t="s">
        <v>161</v>
      </c>
      <c r="B118" s="359"/>
      <c r="C118" s="49"/>
      <c r="D118" s="205">
        <v>16949400</v>
      </c>
      <c r="E118" s="218"/>
      <c r="F118" s="223"/>
      <c r="G118" s="223"/>
      <c r="H118" s="224"/>
      <c r="I118" s="224"/>
    </row>
    <row r="119" spans="1:12" ht="15.75" x14ac:dyDescent="0.25">
      <c r="A119" s="400" t="s">
        <v>162</v>
      </c>
      <c r="B119" s="401"/>
      <c r="C119" s="49"/>
      <c r="D119" s="205">
        <v>16949400</v>
      </c>
      <c r="F119" s="7"/>
      <c r="G119" s="7"/>
      <c r="I119" s="186"/>
      <c r="L119" s="183"/>
    </row>
    <row r="120" spans="1:12" ht="15.75" x14ac:dyDescent="0.25">
      <c r="A120" s="346" t="s">
        <v>105</v>
      </c>
      <c r="B120" s="347"/>
      <c r="C120" s="46"/>
      <c r="D120" s="207"/>
      <c r="I120" s="186"/>
      <c r="L120" s="183"/>
    </row>
    <row r="121" spans="1:12" ht="15.75" x14ac:dyDescent="0.25">
      <c r="A121" s="348" t="s">
        <v>97</v>
      </c>
      <c r="B121" s="349"/>
      <c r="C121" s="46">
        <v>2000000</v>
      </c>
      <c r="D121" s="204"/>
      <c r="I121" s="187"/>
      <c r="L121" s="183"/>
    </row>
    <row r="122" spans="1:12" ht="15.75" x14ac:dyDescent="0.25">
      <c r="A122" s="350" t="s">
        <v>98</v>
      </c>
      <c r="B122" s="351"/>
      <c r="C122" s="46">
        <v>560000</v>
      </c>
      <c r="D122" s="204"/>
      <c r="L122" s="183"/>
    </row>
    <row r="123" spans="1:12" ht="15.75" x14ac:dyDescent="0.25">
      <c r="A123" s="350" t="s">
        <v>287</v>
      </c>
      <c r="B123" s="351"/>
      <c r="C123" s="46">
        <v>100000</v>
      </c>
      <c r="D123" s="204"/>
      <c r="L123" s="183"/>
    </row>
    <row r="124" spans="1:12" ht="15.75" x14ac:dyDescent="0.25">
      <c r="A124" s="350" t="s">
        <v>296</v>
      </c>
      <c r="B124" s="410"/>
      <c r="C124" s="46">
        <v>1560000</v>
      </c>
      <c r="D124" s="204"/>
      <c r="L124" s="183"/>
    </row>
    <row r="125" spans="1:12" ht="15.75" x14ac:dyDescent="0.25">
      <c r="A125" s="350" t="s">
        <v>297</v>
      </c>
      <c r="B125" s="351"/>
      <c r="C125" s="46">
        <v>50000</v>
      </c>
      <c r="D125" s="204"/>
      <c r="L125" s="183"/>
    </row>
    <row r="126" spans="1:12" ht="15.75" x14ac:dyDescent="0.25">
      <c r="A126" s="411" t="s">
        <v>298</v>
      </c>
      <c r="B126" s="412"/>
      <c r="C126" s="46">
        <v>250000</v>
      </c>
      <c r="D126" s="204"/>
      <c r="L126" s="183"/>
    </row>
    <row r="127" spans="1:12" ht="15.75" x14ac:dyDescent="0.25">
      <c r="A127" s="350" t="s">
        <v>300</v>
      </c>
      <c r="B127" s="351"/>
      <c r="C127" s="46">
        <v>3850000</v>
      </c>
      <c r="D127" s="204"/>
      <c r="L127" s="183"/>
    </row>
    <row r="128" spans="1:12" ht="15.75" x14ac:dyDescent="0.25">
      <c r="A128" s="350" t="s">
        <v>299</v>
      </c>
      <c r="B128" s="351"/>
      <c r="C128" s="46">
        <v>108000</v>
      </c>
      <c r="D128" s="204"/>
      <c r="L128" s="183"/>
    </row>
    <row r="129" spans="1:4" ht="15.75" x14ac:dyDescent="0.25">
      <c r="A129" s="408" t="s">
        <v>288</v>
      </c>
      <c r="B129" s="409"/>
      <c r="C129" s="114">
        <v>619000</v>
      </c>
      <c r="D129" s="208"/>
    </row>
    <row r="130" spans="1:4" ht="15.75" x14ac:dyDescent="0.25">
      <c r="A130" s="352" t="s">
        <v>107</v>
      </c>
      <c r="B130" s="353"/>
      <c r="C130" s="51" t="s">
        <v>117</v>
      </c>
      <c r="D130" s="209">
        <f>SUM(C121:C129)</f>
        <v>9097000</v>
      </c>
    </row>
    <row r="131" spans="1:4" ht="15.75" x14ac:dyDescent="0.25">
      <c r="A131" s="344" t="s">
        <v>108</v>
      </c>
      <c r="B131" s="345"/>
      <c r="C131" s="51"/>
      <c r="D131" s="204"/>
    </row>
    <row r="132" spans="1:4" ht="15.75" x14ac:dyDescent="0.25">
      <c r="A132" s="346" t="s">
        <v>109</v>
      </c>
      <c r="B132" s="347"/>
      <c r="C132" s="48"/>
      <c r="D132" s="205">
        <f>(D119-D130)</f>
        <v>7852400</v>
      </c>
    </row>
    <row r="134" spans="1:4" x14ac:dyDescent="0.25">
      <c r="A134" s="228" t="s">
        <v>0</v>
      </c>
      <c r="B134" s="228" t="s">
        <v>248</v>
      </c>
      <c r="C134" s="228" t="s">
        <v>77</v>
      </c>
    </row>
    <row r="135" spans="1:4" x14ac:dyDescent="0.25">
      <c r="A135" s="228">
        <v>1</v>
      </c>
      <c r="B135" s="225" t="s">
        <v>245</v>
      </c>
      <c r="C135" s="226">
        <v>9800000</v>
      </c>
    </row>
    <row r="136" spans="1:4" x14ac:dyDescent="0.25">
      <c r="A136" s="228">
        <v>2</v>
      </c>
      <c r="B136" s="225" t="s">
        <v>273</v>
      </c>
      <c r="C136" s="226">
        <v>300000</v>
      </c>
    </row>
    <row r="137" spans="1:4" x14ac:dyDescent="0.25">
      <c r="A137" s="228">
        <v>3</v>
      </c>
      <c r="B137" s="225" t="s">
        <v>295</v>
      </c>
      <c r="C137" s="226">
        <v>10000000</v>
      </c>
    </row>
    <row r="138" spans="1:4" x14ac:dyDescent="0.25">
      <c r="A138" s="228">
        <v>4</v>
      </c>
      <c r="B138" s="225" t="s">
        <v>246</v>
      </c>
      <c r="C138" s="226">
        <v>1215000</v>
      </c>
    </row>
    <row r="139" spans="1:4" x14ac:dyDescent="0.25">
      <c r="A139" s="228">
        <v>5</v>
      </c>
      <c r="B139" s="227" t="s">
        <v>8</v>
      </c>
      <c r="C139" s="226">
        <f>SUM(C135:C138)</f>
        <v>21315000</v>
      </c>
    </row>
  </sheetData>
  <mergeCells count="33">
    <mergeCell ref="A122:B122"/>
    <mergeCell ref="A111:D111"/>
    <mergeCell ref="A1:N1"/>
    <mergeCell ref="A2:N2"/>
    <mergeCell ref="A89:E89"/>
    <mergeCell ref="E91:J91"/>
    <mergeCell ref="G92:H92"/>
    <mergeCell ref="G94:I94"/>
    <mergeCell ref="A96:A97"/>
    <mergeCell ref="B96:C96"/>
    <mergeCell ref="G96:I96"/>
    <mergeCell ref="G97:I97"/>
    <mergeCell ref="A110:D110"/>
    <mergeCell ref="A117:B117"/>
    <mergeCell ref="A118:B118"/>
    <mergeCell ref="A119:B119"/>
    <mergeCell ref="A120:B120"/>
    <mergeCell ref="A121:B121"/>
    <mergeCell ref="A112:D112"/>
    <mergeCell ref="A113:B113"/>
    <mergeCell ref="C113:D113"/>
    <mergeCell ref="A115:B115"/>
    <mergeCell ref="A116:B116"/>
    <mergeCell ref="A129:B129"/>
    <mergeCell ref="A130:B130"/>
    <mergeCell ref="A131:B131"/>
    <mergeCell ref="A132:B132"/>
    <mergeCell ref="A123:B123"/>
    <mergeCell ref="A124:B124"/>
    <mergeCell ref="A125:B125"/>
    <mergeCell ref="A126:B126"/>
    <mergeCell ref="A128:B128"/>
    <mergeCell ref="A127:B127"/>
  </mergeCells>
  <pageMargins left="0.25" right="0.25" top="0.75" bottom="0.75" header="0.3" footer="0.3"/>
  <pageSetup paperSize="9" scale="61" fitToHeight="0" orientation="landscape" horizontalDpi="300" verticalDpi="3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opLeftCell="A112" workbookViewId="0">
      <selection activeCell="E93" sqref="E93:J93"/>
    </sheetView>
  </sheetViews>
  <sheetFormatPr defaultRowHeight="15" x14ac:dyDescent="0.25"/>
  <cols>
    <col min="1" max="1" width="6.140625" customWidth="1"/>
    <col min="2" max="2" width="23.42578125" customWidth="1"/>
    <col min="3" max="3" width="28" customWidth="1"/>
    <col min="4" max="4" width="18.5703125" customWidth="1"/>
    <col min="5" max="5" width="15.42578125" customWidth="1"/>
    <col min="6" max="6" width="9.140625" customWidth="1"/>
    <col min="7" max="7" width="11.85546875" customWidth="1"/>
    <col min="8" max="8" width="1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303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s="250" customFormat="1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271">
        <v>156</v>
      </c>
      <c r="G5" s="142">
        <v>60</v>
      </c>
      <c r="H5" s="141">
        <f>(Table242325678910111213141516[[#This Row],[STOK]]-Table242325678910111213141516[[#This Row],[TERJUAL]])</f>
        <v>96</v>
      </c>
      <c r="I5" s="143">
        <f>(Table242325678910111213141516[HARGA JUAL]*Table242325678910111213141516[TERJUAL])-(Table242325678910111213141516[HARGA POKOK]*Table242325678910111213141516[TERJUAL])</f>
        <v>1320000</v>
      </c>
      <c r="J5" s="143">
        <f>(Table242325678910111213141516[HARGA JUAL]*Table242325678910111213141516[TERJUAL])</f>
        <v>5820000</v>
      </c>
      <c r="K5" s="143">
        <f>Table242325678910111213141516[HARGA JUAL]*Table242325678910111213141516[SISA]</f>
        <v>9312000</v>
      </c>
      <c r="L5" s="144">
        <f>Table242325678910111213141516[HARGA POKOK]*Table242325678910111213141516[STOK]</f>
        <v>11700000</v>
      </c>
      <c r="M5" s="144">
        <f>Table242325678910111213141516[HARGA JUAL]*Table242325678910111213141516[STOK]</f>
        <v>15132000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270">
        <v>62</v>
      </c>
      <c r="G6" s="142">
        <v>15</v>
      </c>
      <c r="H6" s="141">
        <f>(Table242325678910111213141516[[#This Row],[STOK]]-Table242325678910111213141516[[#This Row],[TERJUAL]])</f>
        <v>47</v>
      </c>
      <c r="I6" s="143">
        <f>(Table242325678910111213141516[HARGA JUAL]*Table242325678910111213141516[TERJUAL])-(Table242325678910111213141516[HARGA POKOK]*Table242325678910111213141516[TERJUAL])</f>
        <v>300000</v>
      </c>
      <c r="J6" s="143">
        <f>(Table242325678910111213141516[HARGA JUAL]*Table242325678910111213141516[TERJUAL])</f>
        <v>1200000</v>
      </c>
      <c r="K6" s="143">
        <f>Table242325678910111213141516[HARGA JUAL]*Table242325678910111213141516[SISA]</f>
        <v>3760000</v>
      </c>
      <c r="L6" s="144">
        <f>Table242325678910111213141516[HARGA POKOK]*Table242325678910111213141516[STOK]</f>
        <v>3720000</v>
      </c>
      <c r="M6" s="144">
        <f>Table242325678910111213141516[HARGA JUAL]*Table242325678910111213141516[STOK]</f>
        <v>4960000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52500</v>
      </c>
      <c r="E7" s="140">
        <v>70000</v>
      </c>
      <c r="F7" s="141"/>
      <c r="G7" s="142"/>
      <c r="H7" s="141">
        <f>(Table242325678910111213141516[[#This Row],[STOK]]-Table242325678910111213141516[[#This Row],[TERJUAL]])</f>
        <v>0</v>
      </c>
      <c r="I7" s="143">
        <f>(Table242325678910111213141516[HARGA JUAL]*Table242325678910111213141516[TERJUAL])-(Table242325678910111213141516[HARGA POKOK]*Table242325678910111213141516[TERJUAL])</f>
        <v>0</v>
      </c>
      <c r="J7" s="143">
        <f>(Table242325678910111213141516[HARGA JUAL]*Table242325678910111213141516[TERJUAL])</f>
        <v>0</v>
      </c>
      <c r="K7" s="143">
        <f>Table242325678910111213141516[HARGA JUAL]*Table242325678910111213141516[SISA]</f>
        <v>0</v>
      </c>
      <c r="L7" s="144">
        <f>Table242325678910111213141516[HARGA POKOK]*Table242325678910111213141516[STOK]</f>
        <v>0</v>
      </c>
      <c r="M7" s="144">
        <f>Table242325678910111213141516[HARGA JUAL]*Table242325678910111213141516[STOK]</f>
        <v>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79</v>
      </c>
      <c r="G8" s="142">
        <v>11</v>
      </c>
      <c r="H8" s="141">
        <f>(Table242325678910111213141516[[#This Row],[STOK]]-Table242325678910111213141516[[#This Row],[TERJUAL]])</f>
        <v>68</v>
      </c>
      <c r="I8" s="143">
        <f>(Table242325678910111213141516[HARGA JUAL]*Table242325678910111213141516[TERJUAL])-(Table242325678910111213141516[HARGA POKOK]*Table242325678910111213141516[TERJUAL])</f>
        <v>181500</v>
      </c>
      <c r="J8" s="143">
        <f>(Table242325678910111213141516[HARGA JUAL]*Table242325678910111213141516[TERJUAL])</f>
        <v>902000</v>
      </c>
      <c r="K8" s="143">
        <f>Table242325678910111213141516[HARGA JUAL]*Table242325678910111213141516[SISA]</f>
        <v>5576000</v>
      </c>
      <c r="L8" s="144">
        <f>Table242325678910111213141516[HARGA POKOK]*Table242325678910111213141516[STOK]</f>
        <v>5174500</v>
      </c>
      <c r="M8" s="144">
        <f>Table242325678910111213141516[HARGA JUAL]*Table242325678910111213141516[STOK]</f>
        <v>6478000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135</v>
      </c>
      <c r="G9" s="142">
        <v>19</v>
      </c>
      <c r="H9" s="141">
        <f>(Table242325678910111213141516[[#This Row],[STOK]]-Table242325678910111213141516[[#This Row],[TERJUAL]])</f>
        <v>116</v>
      </c>
      <c r="I9" s="143">
        <f>(Table242325678910111213141516[HARGA JUAL]*Table242325678910111213141516[TERJUAL])-(Table242325678910111213141516[HARGA POKOK]*Table242325678910111213141516[TERJUAL])</f>
        <v>408500</v>
      </c>
      <c r="J9" s="143">
        <f>(Table242325678910111213141516[HARGA JUAL]*Table242325678910111213141516[TERJUAL])</f>
        <v>1520000</v>
      </c>
      <c r="K9" s="143">
        <f>Table242325678910111213141516[HARGA JUAL]*Table242325678910111213141516[SISA]</f>
        <v>9280000</v>
      </c>
      <c r="L9" s="144">
        <f>Table242325678910111213141516[HARGA POKOK]*Table242325678910111213141516[STOK]</f>
        <v>7897500</v>
      </c>
      <c r="M9" s="144">
        <f>Table242325678910111213141516[HARGA JUAL]*Table242325678910111213141516[STOK]</f>
        <v>10800000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19</v>
      </c>
      <c r="G10" s="142">
        <v>2</v>
      </c>
      <c r="H10" s="141">
        <f>(Table242325678910111213141516[[#This Row],[STOK]]-Table242325678910111213141516[[#This Row],[TERJUAL]])</f>
        <v>17</v>
      </c>
      <c r="I10" s="143">
        <f>(Table242325678910111213141516[HARGA JUAL]*Table242325678910111213141516[TERJUAL])-(Table242325678910111213141516[HARGA POKOK]*Table242325678910111213141516[TERJUAL])</f>
        <v>53000</v>
      </c>
      <c r="J10" s="143">
        <f>(Table242325678910111213141516[HARGA JUAL]*Table242325678910111213141516[TERJUAL])</f>
        <v>220000</v>
      </c>
      <c r="K10" s="143">
        <f>Table242325678910111213141516[HARGA JUAL]*Table242325678910111213141516[SISA]</f>
        <v>1870000</v>
      </c>
      <c r="L10" s="144">
        <f>Table242325678910111213141516[HARGA POKOK]*Table242325678910111213141516[STOK]</f>
        <v>1586500</v>
      </c>
      <c r="M10" s="144">
        <f>Table242325678910111213141516[HARGA JUAL]*Table242325678910111213141516[STOK]</f>
        <v>2090000</v>
      </c>
      <c r="N10" s="145"/>
    </row>
    <row r="11" spans="1:14" x14ac:dyDescent="0.25">
      <c r="A11" s="137">
        <v>7</v>
      </c>
      <c r="B11" s="138" t="s">
        <v>28</v>
      </c>
      <c r="C11" s="138" t="s">
        <v>38</v>
      </c>
      <c r="D11" s="140">
        <v>88500</v>
      </c>
      <c r="E11" s="140">
        <v>50000</v>
      </c>
      <c r="F11" s="141">
        <v>11</v>
      </c>
      <c r="G11" s="142">
        <v>1</v>
      </c>
      <c r="H11" s="141">
        <f>(Table242325678910111213141516[[#This Row],[STOK]]-Table242325678910111213141516[[#This Row],[TERJUAL]])</f>
        <v>10</v>
      </c>
      <c r="I11" s="143">
        <f>(Table242325678910111213141516[HARGA JUAL]*Table242325678910111213141516[TERJUAL])-(Table242325678910111213141516[HARGA POKOK]*Table242325678910111213141516[TERJUAL])</f>
        <v>-38500</v>
      </c>
      <c r="J11" s="143">
        <f>(Table242325678910111213141516[HARGA JUAL]*Table242325678910111213141516[TERJUAL])</f>
        <v>50000</v>
      </c>
      <c r="K11" s="143">
        <f>Table242325678910111213141516[HARGA JUAL]*Table242325678910111213141516[SISA]</f>
        <v>500000</v>
      </c>
      <c r="L11" s="144">
        <f>Table242325678910111213141516[HARGA POKOK]*Table242325678910111213141516[STOK]</f>
        <v>973500</v>
      </c>
      <c r="M11" s="144">
        <f>Table242325678910111213141516[HARGA JUAL]*Table242325678910111213141516[STOK]</f>
        <v>550000</v>
      </c>
      <c r="N11" s="145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62</v>
      </c>
      <c r="G12" s="142">
        <v>8</v>
      </c>
      <c r="H12" s="141">
        <f>(Table242325678910111213141516[[#This Row],[STOK]]-Table242325678910111213141516[[#This Row],[TERJUAL]])</f>
        <v>54</v>
      </c>
      <c r="I12" s="143">
        <f>(Table242325678910111213141516[HARGA JUAL]*Table242325678910111213141516[TERJUAL])-(Table242325678910111213141516[HARGA POKOK]*Table242325678910111213141516[TERJUAL])</f>
        <v>48000</v>
      </c>
      <c r="J12" s="143">
        <f>(Table242325678910111213141516[HARGA JUAL]*Table242325678910111213141516[TERJUAL])</f>
        <v>720000</v>
      </c>
      <c r="K12" s="143">
        <f>Table242325678910111213141516[HARGA JUAL]*Table242325678910111213141516[SISA]</f>
        <v>4860000</v>
      </c>
      <c r="L12" s="144">
        <f>Table242325678910111213141516[HARGA POKOK]*Table242325678910111213141516[STOK]</f>
        <v>5208000</v>
      </c>
      <c r="M12" s="144">
        <f>Table242325678910111213141516[HARGA JUAL]*Table242325678910111213141516[STOK]</f>
        <v>5580000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11</v>
      </c>
      <c r="G13" s="142">
        <v>4</v>
      </c>
      <c r="H13" s="141">
        <f>(Table242325678910111213141516[[#This Row],[STOK]]-Table242325678910111213141516[[#This Row],[TERJUAL]])</f>
        <v>7</v>
      </c>
      <c r="I13" s="143">
        <f>(Table242325678910111213141516[HARGA JUAL]*Table242325678910111213141516[TERJUAL])-(Table242325678910111213141516[HARGA POKOK]*Table242325678910111213141516[TERJUAL])</f>
        <v>86000</v>
      </c>
      <c r="J13" s="143">
        <f>(Table242325678910111213141516[HARGA JUAL]*Table242325678910111213141516[TERJUAL])</f>
        <v>720000</v>
      </c>
      <c r="K13" s="143">
        <f>Table242325678910111213141516[HARGA JUAL]*Table242325678910111213141516[SISA]</f>
        <v>1260000</v>
      </c>
      <c r="L13" s="144">
        <f>Table242325678910111213141516[HARGA POKOK]*Table242325678910111213141516[STOK]</f>
        <v>1743500</v>
      </c>
      <c r="M13" s="144">
        <f>Table242325678910111213141516[HARGA JUAL]*Table242325678910111213141516[STOK]</f>
        <v>1980000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120000</v>
      </c>
      <c r="F14" s="141">
        <v>31</v>
      </c>
      <c r="G14" s="142">
        <v>3</v>
      </c>
      <c r="H14" s="141">
        <f>(Table242325678910111213141516[[#This Row],[STOK]]-Table242325678910111213141516[[#This Row],[TERJUAL]])</f>
        <v>28</v>
      </c>
      <c r="I14" s="143">
        <f>(Table242325678910111213141516[HARGA JUAL]*Table242325678910111213141516[TERJUAL])-(Table242325678910111213141516[HARGA POKOK]*Table242325678910111213141516[TERJUAL])</f>
        <v>-39000</v>
      </c>
      <c r="J14" s="143">
        <f>(Table242325678910111213141516[HARGA JUAL]*Table242325678910111213141516[TERJUAL])</f>
        <v>360000</v>
      </c>
      <c r="K14" s="143">
        <f>Table242325678910111213141516[HARGA JUAL]*Table242325678910111213141516[SISA]</f>
        <v>3360000</v>
      </c>
      <c r="L14" s="144">
        <f>Table242325678910111213141516[HARGA POKOK]*Table242325678910111213141516[STOK]</f>
        <v>4123000</v>
      </c>
      <c r="M14" s="144">
        <f>Table242325678910111213141516[HARGA JUAL]*Table242325678910111213141516[STOK]</f>
        <v>3720000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0</v>
      </c>
      <c r="G15" s="142"/>
      <c r="H15" s="141">
        <f>(Table242325678910111213141516[[#This Row],[STOK]]-Table242325678910111213141516[[#This Row],[TERJUAL]])</f>
        <v>0</v>
      </c>
      <c r="I15" s="143">
        <f>(Table242325678910111213141516[HARGA JUAL]*Table242325678910111213141516[TERJUAL])-(Table242325678910111213141516[HARGA POKOK]*Table242325678910111213141516[TERJUAL])</f>
        <v>0</v>
      </c>
      <c r="J15" s="143">
        <f>(Table242325678910111213141516[HARGA JUAL]*Table242325678910111213141516[TERJUAL])</f>
        <v>0</v>
      </c>
      <c r="K15" s="143">
        <f>Table242325678910111213141516[HARGA JUAL]*Table242325678910111213141516[SISA]</f>
        <v>0</v>
      </c>
      <c r="L15" s="144">
        <f>Table242325678910111213141516[HARGA POKOK]*Table242325678910111213141516[STOK]</f>
        <v>0</v>
      </c>
      <c r="M15" s="144">
        <f>Table242325678910111213141516[HARGA JUAL]*Table242325678910111213141516[STOK]</f>
        <v>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/>
      <c r="G16" s="142"/>
      <c r="H16" s="141">
        <f>(Table242325678910111213141516[[#This Row],[STOK]]-Table242325678910111213141516[[#This Row],[TERJUAL]])</f>
        <v>0</v>
      </c>
      <c r="I16" s="143">
        <f>(Table242325678910111213141516[HARGA JUAL]*Table242325678910111213141516[TERJUAL])-(Table242325678910111213141516[HARGA POKOK]*Table242325678910111213141516[TERJUAL])</f>
        <v>0</v>
      </c>
      <c r="J16" s="143">
        <f>(Table242325678910111213141516[HARGA JUAL]*Table242325678910111213141516[TERJUAL])</f>
        <v>0</v>
      </c>
      <c r="K16" s="143">
        <f>Table242325678910111213141516[HARGA JUAL]*Table242325678910111213141516[SISA]</f>
        <v>0</v>
      </c>
      <c r="L16" s="144">
        <f>Table242325678910111213141516[HARGA POKOK]*Table242325678910111213141516[STOK]</f>
        <v>0</v>
      </c>
      <c r="M16" s="144">
        <f>Table242325678910111213141516[HARGA JUAL]*Table242325678910111213141516[STOK]</f>
        <v>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51</v>
      </c>
      <c r="G17" s="142">
        <v>1</v>
      </c>
      <c r="H17" s="141">
        <f>(Table242325678910111213141516[[#This Row],[STOK]]-Table242325678910111213141516[[#This Row],[TERJUAL]])</f>
        <v>50</v>
      </c>
      <c r="I17" s="143">
        <f>(Table242325678910111213141516[HARGA JUAL]*Table242325678910111213141516[TERJUAL])-(Table242325678910111213141516[HARGA POKOK]*Table242325678910111213141516[TERJUAL])</f>
        <v>19000</v>
      </c>
      <c r="J17" s="143">
        <f>(Table242325678910111213141516[HARGA JUAL]*Table242325678910111213141516[TERJUAL])</f>
        <v>85000</v>
      </c>
      <c r="K17" s="143">
        <f>Table242325678910111213141516[HARGA JUAL]*Table242325678910111213141516[SISA]</f>
        <v>4250000</v>
      </c>
      <c r="L17" s="144">
        <f>Table242325678910111213141516[HARGA POKOK]*Table242325678910111213141516[STOK]</f>
        <v>3366000</v>
      </c>
      <c r="M17" s="144">
        <f>Table242325678910111213141516[HARGA JUAL]*Table242325678910111213141516[STOK]</f>
        <v>4335000</v>
      </c>
      <c r="N17" s="145" t="s">
        <v>292</v>
      </c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550</v>
      </c>
      <c r="G18" s="142">
        <v>2</v>
      </c>
      <c r="H18" s="141">
        <f>(Table242325678910111213141516[[#This Row],[STOK]]-Table242325678910111213141516[[#This Row],[TERJUAL]])</f>
        <v>548</v>
      </c>
      <c r="I18" s="143">
        <f>(Table242325678910111213141516[HARGA JUAL]*Table242325678910111213141516[TERJUAL])-(Table242325678910111213141516[HARGA POKOK]*Table242325678910111213141516[TERJUAL])</f>
        <v>5000</v>
      </c>
      <c r="J18" s="143">
        <f>(Table242325678910111213141516[HARGA JUAL]*Table242325678910111213141516[TERJUAL])</f>
        <v>50000</v>
      </c>
      <c r="K18" s="143">
        <f>Table242325678910111213141516[HARGA JUAL]*Table242325678910111213141516[SISA]</f>
        <v>13700000</v>
      </c>
      <c r="L18" s="144">
        <f>Table242325678910111213141516[HARGA POKOK]*Table242325678910111213141516[STOK]</f>
        <v>12375000</v>
      </c>
      <c r="M18" s="144">
        <f>Table242325678910111213141516[HARGA JUAL]*Table242325678910111213141516[STOK]</f>
        <v>13750000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24</v>
      </c>
      <c r="G19" s="142">
        <v>2</v>
      </c>
      <c r="H19" s="141">
        <f>(Table242325678910111213141516[[#This Row],[STOK]]-Table242325678910111213141516[[#This Row],[TERJUAL]])</f>
        <v>22</v>
      </c>
      <c r="I19" s="143">
        <f>(Table242325678910111213141516[HARGA JUAL]*Table242325678910111213141516[TERJUAL])-(Table242325678910111213141516[HARGA POKOK]*Table242325678910111213141516[TERJUAL])</f>
        <v>48000</v>
      </c>
      <c r="J19" s="143">
        <f>(Table242325678910111213141516[HARGA JUAL]*Table242325678910111213141516[TERJUAL])</f>
        <v>160000</v>
      </c>
      <c r="K19" s="143">
        <f>Table242325678910111213141516[HARGA JUAL]*Table242325678910111213141516[SISA]</f>
        <v>1760000</v>
      </c>
      <c r="L19" s="144">
        <f>Table242325678910111213141516[HARGA POKOK]*Table242325678910111213141516[STOK]</f>
        <v>1344000</v>
      </c>
      <c r="M19" s="144">
        <f>Table242325678910111213141516[HARGA JUAL]*Table242325678910111213141516[STOK]</f>
        <v>1920000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4</v>
      </c>
      <c r="G20" s="142">
        <v>2</v>
      </c>
      <c r="H20" s="141">
        <f>(Table242325678910111213141516[[#This Row],[STOK]]-Table242325678910111213141516[[#This Row],[TERJUAL]])</f>
        <v>2</v>
      </c>
      <c r="I20" s="143">
        <f>(Table242325678910111213141516[HARGA JUAL]*Table242325678910111213141516[TERJUAL])-(Table242325678910111213141516[HARGA POKOK]*Table242325678910111213141516[TERJUAL])</f>
        <v>40000</v>
      </c>
      <c r="J20" s="143">
        <f>(Table242325678910111213141516[HARGA JUAL]*Table242325678910111213141516[TERJUAL])</f>
        <v>120000</v>
      </c>
      <c r="K20" s="143">
        <f>Table242325678910111213141516[HARGA JUAL]*Table242325678910111213141516[SISA]</f>
        <v>120000</v>
      </c>
      <c r="L20" s="144">
        <f>Table242325678910111213141516[HARGA POKOK]*Table242325678910111213141516[STOK]</f>
        <v>160000</v>
      </c>
      <c r="M20" s="144">
        <f>Table242325678910111213141516[HARGA JUAL]*Table242325678910111213141516[STOK]</f>
        <v>240000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79</v>
      </c>
      <c r="G21" s="142">
        <v>3</v>
      </c>
      <c r="H21" s="141">
        <f>(Table242325678910111213141516[[#This Row],[STOK]]-Table242325678910111213141516[[#This Row],[TERJUAL]])</f>
        <v>76</v>
      </c>
      <c r="I21" s="143">
        <f>(Table242325678910111213141516[HARGA JUAL]*Table242325678910111213141516[TERJUAL])-(Table242325678910111213141516[HARGA POKOK]*Table242325678910111213141516[TERJUAL])</f>
        <v>34500</v>
      </c>
      <c r="J21" s="143">
        <f>(Table242325678910111213141516[HARGA JUAL]*Table242325678910111213141516[TERJUAL])</f>
        <v>66000</v>
      </c>
      <c r="K21" s="143">
        <f>Table242325678910111213141516[HARGA JUAL]*Table242325678910111213141516[SISA]</f>
        <v>1672000</v>
      </c>
      <c r="L21" s="144">
        <f>Table242325678910111213141516[HARGA POKOK]*Table242325678910111213141516[STOK]</f>
        <v>829500</v>
      </c>
      <c r="M21" s="144">
        <f>Table242325678910111213141516[HARGA JUAL]*Table242325678910111213141516[STOK]</f>
        <v>1738000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53</v>
      </c>
      <c r="G22" s="142">
        <v>1</v>
      </c>
      <c r="H22" s="141">
        <f>(Table242325678910111213141516[[#This Row],[STOK]]-Table242325678910111213141516[[#This Row],[TERJUAL]])</f>
        <v>52</v>
      </c>
      <c r="I22" s="143">
        <f>(Table242325678910111213141516[HARGA JUAL]*Table242325678910111213141516[TERJUAL])-(Table242325678910111213141516[HARGA POKOK]*Table242325678910111213141516[TERJUAL])</f>
        <v>20000</v>
      </c>
      <c r="J22" s="143">
        <f>(Table242325678910111213141516[HARGA JUAL]*Table242325678910111213141516[TERJUAL])</f>
        <v>80000</v>
      </c>
      <c r="K22" s="143">
        <f>Table242325678910111213141516[HARGA JUAL]*Table242325678910111213141516[SISA]</f>
        <v>4160000</v>
      </c>
      <c r="L22" s="144">
        <f>Table242325678910111213141516[HARGA POKOK]*Table242325678910111213141516[STOK]</f>
        <v>3180000</v>
      </c>
      <c r="M22" s="144">
        <f>Table242325678910111213141516[HARGA JUAL]*Table242325678910111213141516[STOK]</f>
        <v>4240000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74</v>
      </c>
      <c r="G23" s="142">
        <v>5</v>
      </c>
      <c r="H23" s="141">
        <f>(Table242325678910111213141516[[#This Row],[STOK]]-Table242325678910111213141516[[#This Row],[TERJUAL]])</f>
        <v>69</v>
      </c>
      <c r="I23" s="143">
        <f>(Table242325678910111213141516[HARGA JUAL]*Table242325678910111213141516[TERJUAL])-(Table242325678910111213141516[HARGA POKOK]*Table242325678910111213141516[TERJUAL])</f>
        <v>52500</v>
      </c>
      <c r="J23" s="143">
        <f>(Table242325678910111213141516[HARGA JUAL]*Table242325678910111213141516[TERJUAL])</f>
        <v>125000</v>
      </c>
      <c r="K23" s="143">
        <f>Table242325678910111213141516[HARGA JUAL]*Table242325678910111213141516[SISA]</f>
        <v>1725000</v>
      </c>
      <c r="L23" s="144">
        <f>Table242325678910111213141516[HARGA POKOK]*Table242325678910111213141516[STOK]</f>
        <v>1073000</v>
      </c>
      <c r="M23" s="144">
        <f>Table242325678910111213141516[HARGA JUAL]*Table242325678910111213141516[STOK]</f>
        <v>1850000</v>
      </c>
      <c r="N23" s="145"/>
    </row>
    <row r="24" spans="1:14" x14ac:dyDescent="0.25">
      <c r="A24" s="283">
        <v>20</v>
      </c>
      <c r="B24" s="284" t="s">
        <v>28</v>
      </c>
      <c r="C24" s="284" t="s">
        <v>52</v>
      </c>
      <c r="D24" s="285">
        <v>30000</v>
      </c>
      <c r="E24" s="285">
        <v>15000</v>
      </c>
      <c r="F24" s="286">
        <v>65</v>
      </c>
      <c r="G24" s="287">
        <v>6</v>
      </c>
      <c r="H24" s="286">
        <f>(Table242325678910111213141516[[#This Row],[STOK]]-Table242325678910111213141516[[#This Row],[TERJUAL]])</f>
        <v>59</v>
      </c>
      <c r="I24" s="288">
        <f>(Table242325678910111213141516[HARGA JUAL]*Table242325678910111213141516[TERJUAL])-(Table242325678910111213141516[HARGA POKOK]*Table242325678910111213141516[TERJUAL])</f>
        <v>-90000</v>
      </c>
      <c r="J24" s="288">
        <f>(Table242325678910111213141516[HARGA JUAL]*Table242325678910111213141516[TERJUAL])</f>
        <v>90000</v>
      </c>
      <c r="K24" s="288">
        <f>Table242325678910111213141516[HARGA JUAL]*Table242325678910111213141516[SISA]</f>
        <v>885000</v>
      </c>
      <c r="L24" s="289">
        <f>Table242325678910111213141516[HARGA POKOK]*Table242325678910111213141516[STOK]</f>
        <v>1950000</v>
      </c>
      <c r="M24" s="289">
        <f>Table242325678910111213141516[HARGA JUAL]*Table242325678910111213141516[STOK]</f>
        <v>975000</v>
      </c>
      <c r="N24" s="290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4500</v>
      </c>
      <c r="E25" s="140">
        <v>10000</v>
      </c>
      <c r="F25" s="141">
        <v>20</v>
      </c>
      <c r="G25" s="142">
        <v>4</v>
      </c>
      <c r="H25" s="141">
        <f>(Table242325678910111213141516[[#This Row],[STOK]]-Table242325678910111213141516[[#This Row],[TERJUAL]])</f>
        <v>16</v>
      </c>
      <c r="I25" s="143">
        <f>(Table242325678910111213141516[HARGA JUAL]*Table242325678910111213141516[TERJUAL])-(Table242325678910111213141516[HARGA POKOK]*Table242325678910111213141516[TERJUAL])</f>
        <v>22000</v>
      </c>
      <c r="J25" s="143">
        <f>(Table242325678910111213141516[HARGA JUAL]*Table242325678910111213141516[TERJUAL])</f>
        <v>40000</v>
      </c>
      <c r="K25" s="143">
        <f>Table242325678910111213141516[HARGA JUAL]*Table242325678910111213141516[SISA]</f>
        <v>160000</v>
      </c>
      <c r="L25" s="144">
        <f>Table242325678910111213141516[HARGA POKOK]*Table242325678910111213141516[STOK]</f>
        <v>90000</v>
      </c>
      <c r="M25" s="144">
        <f>Table242325678910111213141516[HARGA JUAL]*Table242325678910111213141516[STOK]</f>
        <v>200000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83</v>
      </c>
      <c r="G26" s="142"/>
      <c r="H26" s="141">
        <f>(Table242325678910111213141516[[#This Row],[STOK]]-Table242325678910111213141516[[#This Row],[TERJUAL]])</f>
        <v>83</v>
      </c>
      <c r="I26" s="143">
        <f>(Table242325678910111213141516[HARGA JUAL]*Table242325678910111213141516[TERJUAL])-(Table242325678910111213141516[HARGA POKOK]*Table242325678910111213141516[TERJUAL])</f>
        <v>0</v>
      </c>
      <c r="J26" s="143">
        <f>(Table242325678910111213141516[HARGA JUAL]*Table242325678910111213141516[TERJUAL])</f>
        <v>0</v>
      </c>
      <c r="K26" s="143">
        <f>Table242325678910111213141516[HARGA JUAL]*Table242325678910111213141516[SISA]</f>
        <v>4980000</v>
      </c>
      <c r="L26" s="144">
        <f>Table242325678910111213141516[HARGA POKOK]*Table242325678910111213141516[STOK]</f>
        <v>3942500</v>
      </c>
      <c r="M26" s="144">
        <f>Table242325678910111213141516[HARGA JUAL]*Table242325678910111213141516[STOK]</f>
        <v>4980000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2</v>
      </c>
      <c r="G27" s="142"/>
      <c r="H27" s="141">
        <f>(Table242325678910111213141516[[#This Row],[STOK]]-Table242325678910111213141516[[#This Row],[TERJUAL]])</f>
        <v>2</v>
      </c>
      <c r="I27" s="143">
        <f>(Table242325678910111213141516[HARGA JUAL]*Table242325678910111213141516[TERJUAL])-(Table242325678910111213141516[HARGA POKOK]*Table242325678910111213141516[TERJUAL])</f>
        <v>0</v>
      </c>
      <c r="J27" s="143">
        <f>(Table242325678910111213141516[HARGA JUAL]*Table242325678910111213141516[TERJUAL])</f>
        <v>0</v>
      </c>
      <c r="K27" s="143">
        <f>Table242325678910111213141516[HARGA JUAL]*Table242325678910111213141516[SISA]</f>
        <v>286000</v>
      </c>
      <c r="L27" s="144">
        <f>Table242325678910111213141516[HARGA POKOK]*Table242325678910111213141516[STOK]</f>
        <v>229000</v>
      </c>
      <c r="M27" s="144">
        <f>Table242325678910111213141516[HARGA JUAL]*Table242325678910111213141516[STOK]</f>
        <v>286000</v>
      </c>
      <c r="N27" s="145"/>
    </row>
    <row r="28" spans="1:14" x14ac:dyDescent="0.25">
      <c r="A28" s="137">
        <v>24</v>
      </c>
      <c r="B28" s="138" t="s">
        <v>29</v>
      </c>
      <c r="C28" s="138" t="s">
        <v>293</v>
      </c>
      <c r="D28" s="140">
        <v>68500</v>
      </c>
      <c r="E28" s="140">
        <v>120000</v>
      </c>
      <c r="F28" s="141">
        <v>15</v>
      </c>
      <c r="G28" s="142">
        <v>2</v>
      </c>
      <c r="H28" s="141">
        <f>(Table242325678910111213141516[[#This Row],[STOK]]-Table242325678910111213141516[[#This Row],[TERJUAL]])</f>
        <v>13</v>
      </c>
      <c r="I28" s="143">
        <f>(Table242325678910111213141516[HARGA JUAL]*Table242325678910111213141516[TERJUAL])-(Table242325678910111213141516[HARGA POKOK]*Table242325678910111213141516[TERJUAL])</f>
        <v>103000</v>
      </c>
      <c r="J28" s="143">
        <f>(Table242325678910111213141516[HARGA JUAL]*Table242325678910111213141516[TERJUAL])</f>
        <v>240000</v>
      </c>
      <c r="K28" s="143">
        <f>Table242325678910111213141516[HARGA JUAL]*Table242325678910111213141516[SISA]</f>
        <v>1560000</v>
      </c>
      <c r="L28" s="144">
        <f>Table242325678910111213141516[HARGA POKOK]*Table242325678910111213141516[STOK]</f>
        <v>1027500</v>
      </c>
      <c r="M28" s="144">
        <f>Table242325678910111213141516[HARGA JUAL]*Table242325678910111213141516[STOK]</f>
        <v>1800000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(Table242325678910111213141516[[#This Row],[STOK]]-Table242325678910111213141516[[#This Row],[TERJUAL]])</f>
        <v>0</v>
      </c>
      <c r="I29" s="143">
        <f>(Table242325678910111213141516[HARGA JUAL]*Table242325678910111213141516[TERJUAL])-(Table242325678910111213141516[HARGA POKOK]*Table242325678910111213141516[TERJUAL])</f>
        <v>0</v>
      </c>
      <c r="J29" s="143">
        <f>(Table242325678910111213141516[HARGA JUAL]*Table242325678910111213141516[TERJUAL])</f>
        <v>0</v>
      </c>
      <c r="K29" s="143">
        <f>Table242325678910111213141516[HARGA JUAL]*Table242325678910111213141516[SISA]</f>
        <v>0</v>
      </c>
      <c r="L29" s="144">
        <f>Table242325678910111213141516[HARGA POKOK]*Table242325678910111213141516[STOK]</f>
        <v>0</v>
      </c>
      <c r="M29" s="144">
        <f>Table242325678910111213141516[HARGA JUAL]*Table242325678910111213141516[STOK]</f>
        <v>0</v>
      </c>
      <c r="N29" s="145"/>
    </row>
    <row r="30" spans="1:14" x14ac:dyDescent="0.25">
      <c r="A30" s="137"/>
      <c r="B30" s="138" t="s">
        <v>30</v>
      </c>
      <c r="C30" s="138" t="s">
        <v>294</v>
      </c>
      <c r="D30" s="140">
        <v>15000</v>
      </c>
      <c r="E30" s="140">
        <v>30000</v>
      </c>
      <c r="F30" s="141">
        <v>13</v>
      </c>
      <c r="G30" s="142">
        <v>3</v>
      </c>
      <c r="H30" s="141">
        <f>(Table242325678910111213141516[[#This Row],[STOK]]-Table242325678910111213141516[[#This Row],[TERJUAL]])</f>
        <v>10</v>
      </c>
      <c r="I30" s="143">
        <f>(Table242325678910111213141516[HARGA JUAL]*Table242325678910111213141516[TERJUAL])-(Table242325678910111213141516[HARGA POKOK]*Table242325678910111213141516[TERJUAL])</f>
        <v>45000</v>
      </c>
      <c r="J30" s="143">
        <f>(Table242325678910111213141516[HARGA JUAL]*Table242325678910111213141516[TERJUAL])</f>
        <v>90000</v>
      </c>
      <c r="K30" s="143">
        <f>Table242325678910111213141516[HARGA JUAL]*Table242325678910111213141516[SISA]</f>
        <v>300000</v>
      </c>
      <c r="L30" s="144">
        <f>Table242325678910111213141516[HARGA POKOK]*Table242325678910111213141516[STOK]</f>
        <v>195000</v>
      </c>
      <c r="M30" s="144">
        <f>Table242325678910111213141516[HARGA JUAL]*Table242325678910111213141516[STOK]</f>
        <v>390000</v>
      </c>
      <c r="N30" s="145"/>
    </row>
    <row r="31" spans="1:14" x14ac:dyDescent="0.25">
      <c r="A31" s="137">
        <v>26</v>
      </c>
      <c r="B31" s="138" t="s">
        <v>30</v>
      </c>
      <c r="C31" s="138" t="s">
        <v>58</v>
      </c>
      <c r="D31" s="140">
        <v>10000</v>
      </c>
      <c r="E31" s="140">
        <v>18000</v>
      </c>
      <c r="F31" s="141">
        <v>13</v>
      </c>
      <c r="G31" s="142">
        <v>1</v>
      </c>
      <c r="H31" s="141">
        <f>(Table242325678910111213141516[[#This Row],[STOK]]-Table242325678910111213141516[[#This Row],[TERJUAL]])</f>
        <v>12</v>
      </c>
      <c r="I31" s="143">
        <f>(Table242325678910111213141516[HARGA JUAL]*Table242325678910111213141516[TERJUAL])-(Table242325678910111213141516[HARGA POKOK]*Table242325678910111213141516[TERJUAL])</f>
        <v>8000</v>
      </c>
      <c r="J31" s="143">
        <f>(Table242325678910111213141516[HARGA JUAL]*Table242325678910111213141516[TERJUAL])</f>
        <v>18000</v>
      </c>
      <c r="K31" s="143">
        <f>Table242325678910111213141516[HARGA JUAL]*Table242325678910111213141516[SISA]</f>
        <v>216000</v>
      </c>
      <c r="L31" s="144">
        <f>Table242325678910111213141516[HARGA POKOK]*Table242325678910111213141516[STOK]</f>
        <v>130000</v>
      </c>
      <c r="M31" s="144">
        <f>Table242325678910111213141516[HARGA JUAL]*Table242325678910111213141516[STOK]</f>
        <v>234000</v>
      </c>
      <c r="N31" s="145"/>
    </row>
    <row r="32" spans="1:14" x14ac:dyDescent="0.25">
      <c r="A32" s="137">
        <v>27</v>
      </c>
      <c r="B32" s="138" t="s">
        <v>30</v>
      </c>
      <c r="C32" s="138" t="s">
        <v>59</v>
      </c>
      <c r="D32" s="140">
        <v>27500</v>
      </c>
      <c r="E32" s="140">
        <v>45000</v>
      </c>
      <c r="F32" s="141">
        <v>16</v>
      </c>
      <c r="G32" s="142">
        <v>4</v>
      </c>
      <c r="H32" s="141">
        <f>(Table242325678910111213141516[[#This Row],[STOK]]-Table242325678910111213141516[[#This Row],[TERJUAL]])</f>
        <v>12</v>
      </c>
      <c r="I32" s="143">
        <f>(Table242325678910111213141516[HARGA JUAL]*Table242325678910111213141516[TERJUAL])-(Table242325678910111213141516[HARGA POKOK]*Table242325678910111213141516[TERJUAL])</f>
        <v>70000</v>
      </c>
      <c r="J32" s="143">
        <f>(Table242325678910111213141516[HARGA JUAL]*Table242325678910111213141516[TERJUAL])</f>
        <v>180000</v>
      </c>
      <c r="K32" s="143">
        <f>Table242325678910111213141516[HARGA JUAL]*Table242325678910111213141516[SISA]</f>
        <v>540000</v>
      </c>
      <c r="L32" s="144">
        <f>Table242325678910111213141516[HARGA POKOK]*Table242325678910111213141516[STOK]</f>
        <v>440000</v>
      </c>
      <c r="M32" s="144">
        <f>Table242325678910111213141516[HARGA JUAL]*Table242325678910111213141516[STOK]</f>
        <v>720000</v>
      </c>
      <c r="N32" s="145"/>
    </row>
    <row r="33" spans="1:14" x14ac:dyDescent="0.25">
      <c r="A33" s="137">
        <v>28</v>
      </c>
      <c r="B33" s="138" t="s">
        <v>30</v>
      </c>
      <c r="C33" s="138" t="s">
        <v>60</v>
      </c>
      <c r="D33" s="140">
        <v>12500</v>
      </c>
      <c r="E33" s="140">
        <v>16000</v>
      </c>
      <c r="F33" s="141">
        <v>136</v>
      </c>
      <c r="G33" s="142">
        <v>15</v>
      </c>
      <c r="H33" s="141">
        <f>(Table242325678910111213141516[[#This Row],[STOK]]-Table242325678910111213141516[[#This Row],[TERJUAL]])</f>
        <v>121</v>
      </c>
      <c r="I33" s="143">
        <f>(Table242325678910111213141516[HARGA JUAL]*Table242325678910111213141516[TERJUAL])-(Table242325678910111213141516[HARGA POKOK]*Table242325678910111213141516[TERJUAL])</f>
        <v>52500</v>
      </c>
      <c r="J33" s="143">
        <f>(Table242325678910111213141516[HARGA JUAL]*Table242325678910111213141516[TERJUAL])</f>
        <v>240000</v>
      </c>
      <c r="K33" s="143">
        <f>Table242325678910111213141516[HARGA JUAL]*Table242325678910111213141516[SISA]</f>
        <v>1936000</v>
      </c>
      <c r="L33" s="144">
        <f>Table242325678910111213141516[HARGA POKOK]*Table242325678910111213141516[STOK]</f>
        <v>1700000</v>
      </c>
      <c r="M33" s="144">
        <f>Table242325678910111213141516[HARGA JUAL]*Table242325678910111213141516[STOK]</f>
        <v>2176000</v>
      </c>
      <c r="N33" s="145"/>
    </row>
    <row r="34" spans="1:14" x14ac:dyDescent="0.25">
      <c r="A34" s="137">
        <v>29</v>
      </c>
      <c r="B34" s="138" t="s">
        <v>30</v>
      </c>
      <c r="C34" s="138" t="s">
        <v>13</v>
      </c>
      <c r="D34" s="140">
        <v>33500</v>
      </c>
      <c r="E34" s="140">
        <v>50000</v>
      </c>
      <c r="F34" s="141">
        <v>16</v>
      </c>
      <c r="G34" s="142">
        <v>7</v>
      </c>
      <c r="H34" s="141">
        <f>(Table242325678910111213141516[[#This Row],[STOK]]-Table242325678910111213141516[[#This Row],[TERJUAL]])</f>
        <v>9</v>
      </c>
      <c r="I34" s="143">
        <f>(Table242325678910111213141516[HARGA JUAL]*Table242325678910111213141516[TERJUAL])-(Table242325678910111213141516[HARGA POKOK]*Table242325678910111213141516[TERJUAL])</f>
        <v>115500</v>
      </c>
      <c r="J34" s="143">
        <f>(Table242325678910111213141516[HARGA JUAL]*Table242325678910111213141516[TERJUAL])</f>
        <v>350000</v>
      </c>
      <c r="K34" s="143">
        <f>Table242325678910111213141516[HARGA JUAL]*Table242325678910111213141516[SISA]</f>
        <v>450000</v>
      </c>
      <c r="L34" s="144">
        <f>Table242325678910111213141516[HARGA POKOK]*Table242325678910111213141516[STOK]</f>
        <v>536000</v>
      </c>
      <c r="M34" s="144">
        <f>Table242325678910111213141516[HARGA JUAL]*Table242325678910111213141516[STOK]</f>
        <v>800000</v>
      </c>
      <c r="N34" s="145"/>
    </row>
    <row r="35" spans="1:14" x14ac:dyDescent="0.25">
      <c r="A35" s="137">
        <v>30</v>
      </c>
      <c r="B35" s="138" t="s">
        <v>30</v>
      </c>
      <c r="C35" s="193" t="s">
        <v>14</v>
      </c>
      <c r="D35" s="140">
        <v>8500</v>
      </c>
      <c r="E35" s="140">
        <v>12000</v>
      </c>
      <c r="F35" s="141">
        <v>142</v>
      </c>
      <c r="G35" s="142">
        <v>6</v>
      </c>
      <c r="H35" s="141">
        <f>(Table242325678910111213141516[[#This Row],[STOK]]-Table242325678910111213141516[[#This Row],[TERJUAL]])</f>
        <v>136</v>
      </c>
      <c r="I35" s="143">
        <f>(Table242325678910111213141516[HARGA JUAL]*Table242325678910111213141516[TERJUAL])-(Table242325678910111213141516[HARGA POKOK]*Table242325678910111213141516[TERJUAL])</f>
        <v>21000</v>
      </c>
      <c r="J35" s="143">
        <f>(Table242325678910111213141516[HARGA JUAL]*Table242325678910111213141516[TERJUAL])</f>
        <v>72000</v>
      </c>
      <c r="K35" s="143">
        <f>Table242325678910111213141516[HARGA JUAL]*Table242325678910111213141516[SISA]</f>
        <v>1632000</v>
      </c>
      <c r="L35" s="144">
        <f>Table242325678910111213141516[HARGA POKOK]*Table242325678910111213141516[STOK]</f>
        <v>1207000</v>
      </c>
      <c r="M35" s="144">
        <f>Table242325678910111213141516[HARGA JUAL]*Table242325678910111213141516[STOK]</f>
        <v>1704000</v>
      </c>
      <c r="N35" s="145"/>
    </row>
    <row r="36" spans="1:14" x14ac:dyDescent="0.25">
      <c r="A36" s="137">
        <v>31</v>
      </c>
      <c r="B36" s="138" t="s">
        <v>30</v>
      </c>
      <c r="C36" s="138" t="s">
        <v>15</v>
      </c>
      <c r="D36" s="140">
        <v>30500</v>
      </c>
      <c r="E36" s="140">
        <v>45000</v>
      </c>
      <c r="F36" s="141">
        <v>8</v>
      </c>
      <c r="G36" s="142">
        <v>5</v>
      </c>
      <c r="H36" s="141">
        <f>(Table242325678910111213141516[[#This Row],[STOK]]-Table242325678910111213141516[[#This Row],[TERJUAL]])</f>
        <v>3</v>
      </c>
      <c r="I36" s="143">
        <f>(Table242325678910111213141516[HARGA JUAL]*Table242325678910111213141516[TERJUAL])-(Table242325678910111213141516[HARGA POKOK]*Table242325678910111213141516[TERJUAL])</f>
        <v>72500</v>
      </c>
      <c r="J36" s="143">
        <f>(Table242325678910111213141516[HARGA JUAL]*Table242325678910111213141516[TERJUAL])</f>
        <v>225000</v>
      </c>
      <c r="K36" s="143">
        <f>Table242325678910111213141516[HARGA JUAL]*Table242325678910111213141516[SISA]</f>
        <v>135000</v>
      </c>
      <c r="L36" s="144">
        <f>Table242325678910111213141516[HARGA POKOK]*Table242325678910111213141516[STOK]</f>
        <v>244000</v>
      </c>
      <c r="M36" s="144">
        <f>Table242325678910111213141516[HARGA JUAL]*Table242325678910111213141516[STOK]</f>
        <v>360000</v>
      </c>
      <c r="N36" s="145"/>
    </row>
    <row r="37" spans="1:14" x14ac:dyDescent="0.25">
      <c r="A37" s="137">
        <v>32</v>
      </c>
      <c r="B37" s="138" t="s">
        <v>30</v>
      </c>
      <c r="C37" s="138" t="s">
        <v>16</v>
      </c>
      <c r="D37" s="140">
        <v>7500</v>
      </c>
      <c r="E37" s="140">
        <v>10000</v>
      </c>
      <c r="F37" s="141">
        <v>125</v>
      </c>
      <c r="G37" s="142">
        <v>9</v>
      </c>
      <c r="H37" s="141">
        <f>(Table242325678910111213141516[[#This Row],[STOK]]-Table242325678910111213141516[[#This Row],[TERJUAL]])</f>
        <v>116</v>
      </c>
      <c r="I37" s="143">
        <f>(Table242325678910111213141516[HARGA JUAL]*Table242325678910111213141516[TERJUAL])-(Table242325678910111213141516[HARGA POKOK]*Table242325678910111213141516[TERJUAL])</f>
        <v>22500</v>
      </c>
      <c r="J37" s="143">
        <f>(Table242325678910111213141516[HARGA JUAL]*Table242325678910111213141516[TERJUAL])</f>
        <v>90000</v>
      </c>
      <c r="K37" s="143">
        <f>Table242325678910111213141516[HARGA JUAL]*Table242325678910111213141516[SISA]</f>
        <v>1160000</v>
      </c>
      <c r="L37" s="144">
        <f>Table242325678910111213141516[HARGA POKOK]*Table242325678910111213141516[STOK]</f>
        <v>937500</v>
      </c>
      <c r="M37" s="144">
        <f>Table242325678910111213141516[HARGA JUAL]*Table242325678910111213141516[STOK]</f>
        <v>1250000</v>
      </c>
      <c r="N37" s="145"/>
    </row>
    <row r="38" spans="1:14" x14ac:dyDescent="0.25">
      <c r="A38" s="137">
        <v>33</v>
      </c>
      <c r="B38" s="138" t="s">
        <v>35</v>
      </c>
      <c r="C38" s="138" t="s">
        <v>36</v>
      </c>
      <c r="D38" s="140">
        <v>51500</v>
      </c>
      <c r="E38" s="140">
        <v>65000</v>
      </c>
      <c r="F38" s="141">
        <v>24</v>
      </c>
      <c r="G38" s="142">
        <v>5</v>
      </c>
      <c r="H38" s="141">
        <f>(Table242325678910111213141516[[#This Row],[STOK]]-Table242325678910111213141516[[#This Row],[TERJUAL]])</f>
        <v>19</v>
      </c>
      <c r="I38" s="143">
        <f>(Table242325678910111213141516[HARGA JUAL]*Table242325678910111213141516[TERJUAL])-(Table242325678910111213141516[HARGA POKOK]*Table242325678910111213141516[TERJUAL])</f>
        <v>67500</v>
      </c>
      <c r="J38" s="143">
        <f>(Table242325678910111213141516[HARGA JUAL]*Table242325678910111213141516[TERJUAL])</f>
        <v>325000</v>
      </c>
      <c r="K38" s="143">
        <f>Table242325678910111213141516[HARGA JUAL]*Table242325678910111213141516[SISA]</f>
        <v>1235000</v>
      </c>
      <c r="L38" s="144">
        <f>Table242325678910111213141516[HARGA POKOK]*Table242325678910111213141516[STOK]</f>
        <v>1236000</v>
      </c>
      <c r="M38" s="144">
        <f>Table242325678910111213141516[HARGA JUAL]*Table242325678910111213141516[STOK]</f>
        <v>1560000</v>
      </c>
      <c r="N38" s="145"/>
    </row>
    <row r="39" spans="1:14" x14ac:dyDescent="0.25">
      <c r="A39" s="137">
        <v>34</v>
      </c>
      <c r="B39" s="138" t="s">
        <v>35</v>
      </c>
      <c r="C39" s="138" t="s">
        <v>175</v>
      </c>
      <c r="D39" s="140">
        <v>27500</v>
      </c>
      <c r="E39" s="140">
        <v>40000</v>
      </c>
      <c r="F39" s="141">
        <v>73</v>
      </c>
      <c r="G39" s="142">
        <v>6</v>
      </c>
      <c r="H39" s="141">
        <f>(Table242325678910111213141516[[#This Row],[STOK]]-Table242325678910111213141516[[#This Row],[TERJUAL]])</f>
        <v>67</v>
      </c>
      <c r="I39" s="143">
        <f>(Table242325678910111213141516[HARGA JUAL]*Table242325678910111213141516[TERJUAL])-(Table242325678910111213141516[HARGA POKOK]*Table242325678910111213141516[TERJUAL])</f>
        <v>75000</v>
      </c>
      <c r="J39" s="143">
        <f>(Table242325678910111213141516[HARGA JUAL]*Table242325678910111213141516[TERJUAL])</f>
        <v>240000</v>
      </c>
      <c r="K39" s="143">
        <f>Table242325678910111213141516[HARGA JUAL]*Table242325678910111213141516[SISA]</f>
        <v>2680000</v>
      </c>
      <c r="L39" s="144">
        <f>Table242325678910111213141516[HARGA POKOK]*Table242325678910111213141516[STOK]</f>
        <v>2007500</v>
      </c>
      <c r="M39" s="144">
        <f>Table242325678910111213141516[HARGA JUAL]*Table242325678910111213141516[STOK]</f>
        <v>2920000</v>
      </c>
      <c r="N39" s="145"/>
    </row>
    <row r="40" spans="1:14" x14ac:dyDescent="0.25">
      <c r="A40" s="137">
        <v>35</v>
      </c>
      <c r="B40" s="138" t="s">
        <v>31</v>
      </c>
      <c r="C40" s="138" t="s">
        <v>180</v>
      </c>
      <c r="D40" s="140">
        <v>21500</v>
      </c>
      <c r="E40" s="140">
        <v>40000</v>
      </c>
      <c r="F40" s="141">
        <v>79</v>
      </c>
      <c r="G40" s="142">
        <v>3</v>
      </c>
      <c r="H40" s="141">
        <f>(Table242325678910111213141516[[#This Row],[STOK]]-Table242325678910111213141516[[#This Row],[TERJUAL]])</f>
        <v>76</v>
      </c>
      <c r="I40" s="143">
        <f>(Table242325678910111213141516[HARGA JUAL]*Table242325678910111213141516[TERJUAL])-(Table242325678910111213141516[HARGA POKOK]*Table242325678910111213141516[TERJUAL])</f>
        <v>55500</v>
      </c>
      <c r="J40" s="143">
        <f>(Table242325678910111213141516[HARGA JUAL]*Table242325678910111213141516[TERJUAL])</f>
        <v>120000</v>
      </c>
      <c r="K40" s="143">
        <f>Table242325678910111213141516[HARGA JUAL]*Table242325678910111213141516[SISA]</f>
        <v>3040000</v>
      </c>
      <c r="L40" s="144">
        <f>Table242325678910111213141516[HARGA POKOK]*Table242325678910111213141516[STOK]</f>
        <v>1698500</v>
      </c>
      <c r="M40" s="144">
        <f>Table242325678910111213141516[HARGA JUAL]*Table242325678910111213141516[STOK]</f>
        <v>3160000</v>
      </c>
      <c r="N40" s="145"/>
    </row>
    <row r="41" spans="1:14" x14ac:dyDescent="0.25">
      <c r="A41" s="137">
        <v>36</v>
      </c>
      <c r="B41" s="138" t="s">
        <v>31</v>
      </c>
      <c r="C41" s="138" t="s">
        <v>62</v>
      </c>
      <c r="D41" s="140">
        <v>25000</v>
      </c>
      <c r="E41" s="140">
        <v>15000</v>
      </c>
      <c r="F41" s="141"/>
      <c r="G41" s="142"/>
      <c r="H41" s="141">
        <f>(Table242325678910111213141516[[#This Row],[STOK]]-Table242325678910111213141516[[#This Row],[TERJUAL]])</f>
        <v>0</v>
      </c>
      <c r="I41" s="143">
        <f>(Table242325678910111213141516[HARGA JUAL]*Table242325678910111213141516[TERJUAL])-(Table242325678910111213141516[HARGA POKOK]*Table242325678910111213141516[TERJUAL])</f>
        <v>0</v>
      </c>
      <c r="J41" s="143">
        <f>(Table242325678910111213141516[HARGA JUAL]*Table242325678910111213141516[TERJUAL])</f>
        <v>0</v>
      </c>
      <c r="K41" s="143">
        <f>Table242325678910111213141516[HARGA JUAL]*Table242325678910111213141516[SISA]</f>
        <v>0</v>
      </c>
      <c r="L41" s="144">
        <f>Table242325678910111213141516[HARGA POKOK]*Table242325678910111213141516[STOK]</f>
        <v>0</v>
      </c>
      <c r="M41" s="144">
        <f>Table242325678910111213141516[HARGA JUAL]*Table242325678910111213141516[STOK]</f>
        <v>0</v>
      </c>
      <c r="N41" s="145"/>
    </row>
    <row r="42" spans="1:14" x14ac:dyDescent="0.25">
      <c r="A42" s="137">
        <v>37</v>
      </c>
      <c r="B42" s="138" t="s">
        <v>31</v>
      </c>
      <c r="C42" s="138" t="s">
        <v>181</v>
      </c>
      <c r="D42" s="140">
        <v>34500</v>
      </c>
      <c r="E42" s="140">
        <v>40000</v>
      </c>
      <c r="F42" s="141">
        <v>114</v>
      </c>
      <c r="G42" s="142">
        <v>1</v>
      </c>
      <c r="H42" s="141">
        <f>(Table242325678910111213141516[[#This Row],[STOK]]-Table242325678910111213141516[[#This Row],[TERJUAL]])</f>
        <v>113</v>
      </c>
      <c r="I42" s="143">
        <f>(Table242325678910111213141516[HARGA JUAL]*Table242325678910111213141516[TERJUAL])-(Table242325678910111213141516[HARGA POKOK]*Table242325678910111213141516[TERJUAL])</f>
        <v>5500</v>
      </c>
      <c r="J42" s="143">
        <f>(Table242325678910111213141516[HARGA JUAL]*Table242325678910111213141516[TERJUAL])</f>
        <v>40000</v>
      </c>
      <c r="K42" s="143">
        <f>Table242325678910111213141516[HARGA JUAL]*Table242325678910111213141516[SISA]</f>
        <v>4520000</v>
      </c>
      <c r="L42" s="144">
        <f>Table242325678910111213141516[HARGA POKOK]*Table242325678910111213141516[STOK]</f>
        <v>3933000</v>
      </c>
      <c r="M42" s="144">
        <f>Table242325678910111213141516[HARGA JUAL]*Table242325678910111213141516[STOK]</f>
        <v>4560000</v>
      </c>
      <c r="N42" s="145"/>
    </row>
    <row r="43" spans="1:14" x14ac:dyDescent="0.25">
      <c r="A43" s="137">
        <v>38</v>
      </c>
      <c r="B43" s="138" t="s">
        <v>31</v>
      </c>
      <c r="C43" s="138" t="s">
        <v>64</v>
      </c>
      <c r="D43" s="140">
        <v>24000</v>
      </c>
      <c r="E43" s="140">
        <v>40000</v>
      </c>
      <c r="F43" s="141"/>
      <c r="G43" s="142"/>
      <c r="H43" s="141">
        <f>(Table242325678910111213141516[[#This Row],[STOK]]-Table242325678910111213141516[[#This Row],[TERJUAL]])</f>
        <v>0</v>
      </c>
      <c r="I43" s="143">
        <f>(Table242325678910111213141516[HARGA JUAL]*Table242325678910111213141516[TERJUAL])-(Table242325678910111213141516[HARGA POKOK]*Table242325678910111213141516[TERJUAL])</f>
        <v>0</v>
      </c>
      <c r="J43" s="143">
        <f>(Table242325678910111213141516[HARGA JUAL]*Table242325678910111213141516[TERJUAL])</f>
        <v>0</v>
      </c>
      <c r="K43" s="143">
        <f>Table242325678910111213141516[HARGA JUAL]*Table242325678910111213141516[SISA]</f>
        <v>0</v>
      </c>
      <c r="L43" s="144">
        <f>Table242325678910111213141516[HARGA POKOK]*Table242325678910111213141516[STOK]</f>
        <v>0</v>
      </c>
      <c r="M43" s="144">
        <f>Table242325678910111213141516[HARGA JUAL]*Table242325678910111213141516[STOK]</f>
        <v>0</v>
      </c>
      <c r="N43" s="145"/>
    </row>
    <row r="44" spans="1:14" x14ac:dyDescent="0.25">
      <c r="A44" s="137">
        <v>39</v>
      </c>
      <c r="B44" s="138" t="s">
        <v>31</v>
      </c>
      <c r="C44" s="138" t="s">
        <v>138</v>
      </c>
      <c r="D44" s="140">
        <v>34000</v>
      </c>
      <c r="E44" s="140">
        <v>40000</v>
      </c>
      <c r="F44" s="141">
        <v>0</v>
      </c>
      <c r="G44" s="142"/>
      <c r="H44" s="141">
        <f>(Table242325678910111213141516[[#This Row],[STOK]]-Table242325678910111213141516[[#This Row],[TERJUAL]])</f>
        <v>0</v>
      </c>
      <c r="I44" s="143">
        <f>(Table242325678910111213141516[HARGA JUAL]*Table242325678910111213141516[TERJUAL])-(Table242325678910111213141516[HARGA POKOK]*Table242325678910111213141516[TERJUAL])</f>
        <v>0</v>
      </c>
      <c r="J44" s="143">
        <f>(Table242325678910111213141516[HARGA JUAL]*Table242325678910111213141516[TERJUAL])</f>
        <v>0</v>
      </c>
      <c r="K44" s="143">
        <f>Table242325678910111213141516[HARGA JUAL]*Table242325678910111213141516[SISA]</f>
        <v>0</v>
      </c>
      <c r="L44" s="144">
        <f>Table242325678910111213141516[HARGA POKOK]*Table242325678910111213141516[STOK]</f>
        <v>0</v>
      </c>
      <c r="M44" s="144">
        <f>Table242325678910111213141516[HARGA JUAL]*Table242325678910111213141516[STOK]</f>
        <v>0</v>
      </c>
      <c r="N44" s="145"/>
    </row>
    <row r="45" spans="1:14" x14ac:dyDescent="0.25">
      <c r="A45" s="137"/>
      <c r="B45" s="138" t="s">
        <v>31</v>
      </c>
      <c r="C45" s="138" t="s">
        <v>260</v>
      </c>
      <c r="D45" s="140"/>
      <c r="E45" s="140">
        <v>750000</v>
      </c>
      <c r="F45" s="141">
        <v>0</v>
      </c>
      <c r="G45" s="142"/>
      <c r="H45" s="141">
        <f>(Table242325678910111213141516[[#This Row],[STOK]]-Table242325678910111213141516[[#This Row],[TERJUAL]])</f>
        <v>0</v>
      </c>
      <c r="I45" s="143">
        <f>(Table242325678910111213141516[HARGA JUAL]*Table242325678910111213141516[TERJUAL])-(Table242325678910111213141516[HARGA POKOK]*Table242325678910111213141516[TERJUAL])</f>
        <v>0</v>
      </c>
      <c r="J45" s="143">
        <f>(Table242325678910111213141516[HARGA JUAL]*Table242325678910111213141516[TERJUAL])</f>
        <v>0</v>
      </c>
      <c r="K45" s="143">
        <f>Table242325678910111213141516[HARGA JUAL]*Table242325678910111213141516[SISA]</f>
        <v>0</v>
      </c>
      <c r="L45" s="144">
        <f>Table242325678910111213141516[HARGA POKOK]*Table242325678910111213141516[STOK]</f>
        <v>0</v>
      </c>
      <c r="M45" s="144">
        <f>Table242325678910111213141516[HARGA JUAL]*Table242325678910111213141516[STOK]</f>
        <v>0</v>
      </c>
      <c r="N45" s="145"/>
    </row>
    <row r="46" spans="1:14" x14ac:dyDescent="0.25">
      <c r="A46" s="137">
        <v>40</v>
      </c>
      <c r="B46" s="138" t="s">
        <v>31</v>
      </c>
      <c r="C46" s="138" t="s">
        <v>261</v>
      </c>
      <c r="D46" s="140">
        <v>30000</v>
      </c>
      <c r="E46" s="140">
        <v>35000</v>
      </c>
      <c r="F46" s="141">
        <v>4</v>
      </c>
      <c r="G46" s="142">
        <v>3</v>
      </c>
      <c r="H46" s="141">
        <f>(Table242325678910111213141516[[#This Row],[STOK]]-Table242325678910111213141516[[#This Row],[TERJUAL]])</f>
        <v>1</v>
      </c>
      <c r="I46" s="143">
        <f>(Table242325678910111213141516[HARGA JUAL]*Table242325678910111213141516[TERJUAL])-(Table242325678910111213141516[HARGA POKOK]*Table242325678910111213141516[TERJUAL])</f>
        <v>15000</v>
      </c>
      <c r="J46" s="143">
        <f>(Table242325678910111213141516[HARGA JUAL]*Table242325678910111213141516[TERJUAL])</f>
        <v>105000</v>
      </c>
      <c r="K46" s="143">
        <f>Table242325678910111213141516[HARGA JUAL]*Table242325678910111213141516[SISA]</f>
        <v>35000</v>
      </c>
      <c r="L46" s="144">
        <f>Table242325678910111213141516[HARGA POKOK]*Table242325678910111213141516[STOK]</f>
        <v>120000</v>
      </c>
      <c r="M46" s="144">
        <f>Table242325678910111213141516[HARGA JUAL]*Table242325678910111213141516[STOK]</f>
        <v>140000</v>
      </c>
      <c r="N46" s="145"/>
    </row>
    <row r="47" spans="1:14" x14ac:dyDescent="0.25">
      <c r="A47" s="137">
        <v>41</v>
      </c>
      <c r="B47" s="138" t="s">
        <v>31</v>
      </c>
      <c r="C47" s="138" t="s">
        <v>67</v>
      </c>
      <c r="D47" s="140">
        <v>27500</v>
      </c>
      <c r="E47" s="140">
        <v>40000</v>
      </c>
      <c r="F47" s="141">
        <v>0</v>
      </c>
      <c r="G47" s="142"/>
      <c r="H47" s="141">
        <f>(Table242325678910111213141516[[#This Row],[STOK]]-Table242325678910111213141516[[#This Row],[TERJUAL]])</f>
        <v>0</v>
      </c>
      <c r="I47" s="143">
        <f>(Table242325678910111213141516[HARGA JUAL]*Table242325678910111213141516[TERJUAL])-(Table242325678910111213141516[HARGA POKOK]*Table242325678910111213141516[TERJUAL])</f>
        <v>0</v>
      </c>
      <c r="J47" s="143">
        <f>(Table242325678910111213141516[HARGA JUAL]*Table242325678910111213141516[TERJUAL])</f>
        <v>0</v>
      </c>
      <c r="K47" s="143">
        <f>Table242325678910111213141516[HARGA JUAL]*Table242325678910111213141516[SISA]</f>
        <v>0</v>
      </c>
      <c r="L47" s="144">
        <f>Table242325678910111213141516[HARGA POKOK]*Table242325678910111213141516[STOK]</f>
        <v>0</v>
      </c>
      <c r="M47" s="144">
        <f>Table242325678910111213141516[HARGA JUAL]*Table242325678910111213141516[STOK]</f>
        <v>0</v>
      </c>
      <c r="N47" s="145"/>
    </row>
    <row r="48" spans="1:14" x14ac:dyDescent="0.25">
      <c r="A48" s="137">
        <v>42</v>
      </c>
      <c r="B48" s="138" t="s">
        <v>31</v>
      </c>
      <c r="C48" s="138" t="s">
        <v>309</v>
      </c>
      <c r="D48" s="140">
        <v>30000</v>
      </c>
      <c r="E48" s="140">
        <v>40000</v>
      </c>
      <c r="F48" s="141">
        <v>5</v>
      </c>
      <c r="G48" s="142">
        <v>1</v>
      </c>
      <c r="H48" s="141">
        <f>(Table242325678910111213141516[[#This Row],[STOK]]-Table242325678910111213141516[[#This Row],[TERJUAL]])</f>
        <v>4</v>
      </c>
      <c r="I48" s="143">
        <f>(Table242325678910111213141516[HARGA JUAL]*Table242325678910111213141516[TERJUAL])-(Table242325678910111213141516[HARGA POKOK]*Table242325678910111213141516[TERJUAL])</f>
        <v>10000</v>
      </c>
      <c r="J48" s="143">
        <f>(Table242325678910111213141516[HARGA JUAL]*Table242325678910111213141516[TERJUAL])</f>
        <v>40000</v>
      </c>
      <c r="K48" s="143">
        <f>Table242325678910111213141516[HARGA JUAL]*Table242325678910111213141516[SISA]</f>
        <v>160000</v>
      </c>
      <c r="L48" s="144">
        <f>Table242325678910111213141516[HARGA POKOK]*Table242325678910111213141516[STOK]</f>
        <v>150000</v>
      </c>
      <c r="M48" s="144">
        <f>Table242325678910111213141516[HARGA JUAL]*Table242325678910111213141516[STOK]</f>
        <v>200000</v>
      </c>
      <c r="N48" s="145"/>
    </row>
    <row r="49" spans="1:14" x14ac:dyDescent="0.25">
      <c r="A49" s="137">
        <v>43</v>
      </c>
      <c r="B49" s="138" t="s">
        <v>31</v>
      </c>
      <c r="C49" s="138" t="s">
        <v>137</v>
      </c>
      <c r="D49" s="140">
        <v>190000</v>
      </c>
      <c r="E49" s="140">
        <v>200000</v>
      </c>
      <c r="F49" s="141">
        <v>0</v>
      </c>
      <c r="G49" s="142"/>
      <c r="H49" s="141">
        <f>(Table242325678910111213141516[[#This Row],[STOK]]-Table242325678910111213141516[[#This Row],[TERJUAL]])</f>
        <v>0</v>
      </c>
      <c r="I49" s="143">
        <f>(Table242325678910111213141516[HARGA JUAL]*Table242325678910111213141516[TERJUAL])-(Table242325678910111213141516[HARGA POKOK]*Table242325678910111213141516[TERJUAL])</f>
        <v>0</v>
      </c>
      <c r="J49" s="143">
        <f>(Table242325678910111213141516[HARGA JUAL]*Table242325678910111213141516[TERJUAL])</f>
        <v>0</v>
      </c>
      <c r="K49" s="143">
        <f>Table242325678910111213141516[HARGA JUAL]*Table242325678910111213141516[SISA]</f>
        <v>0</v>
      </c>
      <c r="L49" s="144">
        <f>Table242325678910111213141516[HARGA POKOK]*Table242325678910111213141516[STOK]</f>
        <v>0</v>
      </c>
      <c r="M49" s="144">
        <f>Table242325678910111213141516[HARGA JUAL]*Table242325678910111213141516[STOK]</f>
        <v>0</v>
      </c>
      <c r="N49" s="145"/>
    </row>
    <row r="50" spans="1:14" x14ac:dyDescent="0.25">
      <c r="A50" s="137">
        <v>44</v>
      </c>
      <c r="B50" s="138" t="s">
        <v>31</v>
      </c>
      <c r="C50" s="138" t="s">
        <v>139</v>
      </c>
      <c r="D50" s="140">
        <v>16000</v>
      </c>
      <c r="E50" s="140">
        <v>25000</v>
      </c>
      <c r="F50" s="141">
        <v>2</v>
      </c>
      <c r="G50" s="142"/>
      <c r="H50" s="141">
        <f>(Table242325678910111213141516[[#This Row],[STOK]]-Table242325678910111213141516[[#This Row],[TERJUAL]])</f>
        <v>2</v>
      </c>
      <c r="I50" s="143">
        <f>(Table242325678910111213141516[HARGA JUAL]*Table242325678910111213141516[TERJUAL])-(Table242325678910111213141516[HARGA POKOK]*Table242325678910111213141516[TERJUAL])</f>
        <v>0</v>
      </c>
      <c r="J50" s="143">
        <f>(Table242325678910111213141516[HARGA JUAL]*Table242325678910111213141516[TERJUAL])</f>
        <v>0</v>
      </c>
      <c r="K50" s="143">
        <f>Table242325678910111213141516[HARGA JUAL]*Table242325678910111213141516[SISA]</f>
        <v>50000</v>
      </c>
      <c r="L50" s="144">
        <f>Table242325678910111213141516[HARGA POKOK]*Table242325678910111213141516[STOK]</f>
        <v>32000</v>
      </c>
      <c r="M50" s="144">
        <f>Table242325678910111213141516[HARGA JUAL]*Table242325678910111213141516[STOK]</f>
        <v>50000</v>
      </c>
      <c r="N50" s="145"/>
    </row>
    <row r="51" spans="1:14" x14ac:dyDescent="0.25">
      <c r="A51" s="137">
        <v>45</v>
      </c>
      <c r="B51" s="138" t="s">
        <v>31</v>
      </c>
      <c r="C51" s="138" t="s">
        <v>134</v>
      </c>
      <c r="D51" s="140">
        <v>18000</v>
      </c>
      <c r="E51" s="140">
        <v>30000</v>
      </c>
      <c r="F51" s="141">
        <v>0</v>
      </c>
      <c r="G51" s="142"/>
      <c r="H51" s="141">
        <f>(Table242325678910111213141516[[#This Row],[STOK]]-Table242325678910111213141516[[#This Row],[TERJUAL]])</f>
        <v>0</v>
      </c>
      <c r="I51" s="143">
        <f>(Table242325678910111213141516[HARGA JUAL]*Table242325678910111213141516[TERJUAL])-(Table242325678910111213141516[HARGA POKOK]*Table242325678910111213141516[TERJUAL])</f>
        <v>0</v>
      </c>
      <c r="J51" s="143">
        <f>(Table242325678910111213141516[HARGA JUAL]*Table242325678910111213141516[TERJUAL])</f>
        <v>0</v>
      </c>
      <c r="K51" s="143">
        <f>Table242325678910111213141516[HARGA JUAL]*Table242325678910111213141516[SISA]</f>
        <v>0</v>
      </c>
      <c r="L51" s="144">
        <f>Table242325678910111213141516[HARGA POKOK]*Table242325678910111213141516[STOK]</f>
        <v>0</v>
      </c>
      <c r="M51" s="144">
        <f>Table242325678910111213141516[HARGA JUAL]*Table242325678910111213141516[STOK]</f>
        <v>0</v>
      </c>
      <c r="N51" s="145"/>
    </row>
    <row r="52" spans="1:14" x14ac:dyDescent="0.25">
      <c r="A52" s="137">
        <v>46</v>
      </c>
      <c r="B52" s="138" t="s">
        <v>31</v>
      </c>
      <c r="C52" s="138" t="s">
        <v>183</v>
      </c>
      <c r="D52" s="140">
        <v>18000</v>
      </c>
      <c r="E52" s="140">
        <v>30000</v>
      </c>
      <c r="F52" s="141">
        <v>10</v>
      </c>
      <c r="G52" s="142">
        <v>1</v>
      </c>
      <c r="H52" s="141">
        <f>(Table242325678910111213141516[[#This Row],[STOK]]-Table242325678910111213141516[[#This Row],[TERJUAL]])</f>
        <v>9</v>
      </c>
      <c r="I52" s="143">
        <f>(Table242325678910111213141516[HARGA JUAL]*Table242325678910111213141516[TERJUAL])-(Table242325678910111213141516[HARGA POKOK]*Table242325678910111213141516[TERJUAL])</f>
        <v>12000</v>
      </c>
      <c r="J52" s="143">
        <f>(Table242325678910111213141516[HARGA JUAL]*Table242325678910111213141516[TERJUAL])</f>
        <v>30000</v>
      </c>
      <c r="K52" s="143">
        <f>Table242325678910111213141516[HARGA JUAL]*Table242325678910111213141516[SISA]</f>
        <v>270000</v>
      </c>
      <c r="L52" s="144">
        <f>Table242325678910111213141516[HARGA POKOK]*Table242325678910111213141516[STOK]</f>
        <v>180000</v>
      </c>
      <c r="M52" s="144">
        <f>Table242325678910111213141516[HARGA JUAL]*Table242325678910111213141516[STOK]</f>
        <v>300000</v>
      </c>
      <c r="N52" s="145"/>
    </row>
    <row r="53" spans="1:14" x14ac:dyDescent="0.25">
      <c r="A53" s="137">
        <v>47</v>
      </c>
      <c r="B53" s="138" t="s">
        <v>31</v>
      </c>
      <c r="C53" s="193" t="s">
        <v>184</v>
      </c>
      <c r="D53" s="140">
        <v>12500</v>
      </c>
      <c r="E53" s="140">
        <v>30000</v>
      </c>
      <c r="F53" s="141">
        <v>90</v>
      </c>
      <c r="G53" s="142">
        <v>2</v>
      </c>
      <c r="H53" s="141">
        <f>(Table242325678910111213141516[[#This Row],[STOK]]-Table242325678910111213141516[[#This Row],[TERJUAL]])</f>
        <v>88</v>
      </c>
      <c r="I53" s="143">
        <f>(Table242325678910111213141516[HARGA JUAL]*Table242325678910111213141516[TERJUAL])-(Table242325678910111213141516[HARGA POKOK]*Table242325678910111213141516[TERJUAL])</f>
        <v>35000</v>
      </c>
      <c r="J53" s="143">
        <f>(Table242325678910111213141516[HARGA JUAL]*Table242325678910111213141516[TERJUAL])</f>
        <v>60000</v>
      </c>
      <c r="K53" s="143">
        <f>Table242325678910111213141516[HARGA JUAL]*Table242325678910111213141516[SISA]</f>
        <v>2640000</v>
      </c>
      <c r="L53" s="144">
        <f>Table242325678910111213141516[HARGA POKOK]*Table242325678910111213141516[STOK]</f>
        <v>1125000</v>
      </c>
      <c r="M53" s="144">
        <f>Table242325678910111213141516[HARGA JUAL]*Table242325678910111213141516[STOK]</f>
        <v>2700000</v>
      </c>
      <c r="N53" s="145"/>
    </row>
    <row r="54" spans="1:14" x14ac:dyDescent="0.25">
      <c r="A54" s="283">
        <v>48</v>
      </c>
      <c r="B54" s="284" t="s">
        <v>31</v>
      </c>
      <c r="C54" s="284" t="s">
        <v>185</v>
      </c>
      <c r="D54" s="285">
        <v>28500</v>
      </c>
      <c r="E54" s="285">
        <v>20000</v>
      </c>
      <c r="F54" s="286">
        <v>21</v>
      </c>
      <c r="G54" s="287">
        <v>3</v>
      </c>
      <c r="H54" s="286">
        <f>(Table242325678910111213141516[[#This Row],[STOK]]-Table242325678910111213141516[[#This Row],[TERJUAL]])</f>
        <v>18</v>
      </c>
      <c r="I54" s="288">
        <f>(Table242325678910111213141516[HARGA JUAL]*Table242325678910111213141516[TERJUAL])-(Table242325678910111213141516[HARGA POKOK]*Table242325678910111213141516[TERJUAL])</f>
        <v>-25500</v>
      </c>
      <c r="J54" s="288">
        <f>(Table242325678910111213141516[HARGA JUAL]*Table242325678910111213141516[TERJUAL])</f>
        <v>60000</v>
      </c>
      <c r="K54" s="288">
        <f>Table242325678910111213141516[HARGA JUAL]*Table242325678910111213141516[SISA]</f>
        <v>360000</v>
      </c>
      <c r="L54" s="289">
        <f>Table242325678910111213141516[HARGA POKOK]*Table242325678910111213141516[STOK]</f>
        <v>598500</v>
      </c>
      <c r="M54" s="289">
        <f>Table242325678910111213141516[HARGA JUAL]*Table242325678910111213141516[STOK]</f>
        <v>420000</v>
      </c>
      <c r="N54" s="290" t="s">
        <v>179</v>
      </c>
    </row>
    <row r="55" spans="1:14" x14ac:dyDescent="0.25">
      <c r="A55" s="137">
        <v>49</v>
      </c>
      <c r="B55" s="138" t="s">
        <v>31</v>
      </c>
      <c r="C55" s="138" t="s">
        <v>186</v>
      </c>
      <c r="D55" s="140">
        <v>48500</v>
      </c>
      <c r="E55" s="140">
        <v>65000</v>
      </c>
      <c r="F55" s="141">
        <v>9</v>
      </c>
      <c r="G55" s="142"/>
      <c r="H55" s="141">
        <f>(Table242325678910111213141516[[#This Row],[STOK]]-Table242325678910111213141516[[#This Row],[TERJUAL]])</f>
        <v>9</v>
      </c>
      <c r="I55" s="143">
        <f>(Table242325678910111213141516[HARGA JUAL]*Table242325678910111213141516[TERJUAL])-(Table242325678910111213141516[HARGA POKOK]*Table242325678910111213141516[TERJUAL])</f>
        <v>0</v>
      </c>
      <c r="J55" s="143">
        <f>(Table242325678910111213141516[HARGA JUAL]*Table242325678910111213141516[TERJUAL])</f>
        <v>0</v>
      </c>
      <c r="K55" s="143">
        <f>Table242325678910111213141516[HARGA JUAL]*Table242325678910111213141516[SISA]</f>
        <v>585000</v>
      </c>
      <c r="L55" s="144">
        <f>Table242325678910111213141516[HARGA POKOK]*Table242325678910111213141516[STOK]</f>
        <v>436500</v>
      </c>
      <c r="M55" s="144">
        <f>Table242325678910111213141516[HARGA JUAL]*Table242325678910111213141516[STOK]</f>
        <v>585000</v>
      </c>
      <c r="N55" s="145"/>
    </row>
    <row r="56" spans="1:14" x14ac:dyDescent="0.25">
      <c r="A56" s="137">
        <v>50</v>
      </c>
      <c r="B56" s="138" t="s">
        <v>31</v>
      </c>
      <c r="C56" s="138" t="s">
        <v>187</v>
      </c>
      <c r="D56" s="140">
        <v>47500</v>
      </c>
      <c r="E56" s="140">
        <v>65000</v>
      </c>
      <c r="F56" s="141">
        <v>43</v>
      </c>
      <c r="G56" s="142">
        <v>6</v>
      </c>
      <c r="H56" s="141">
        <f>(Table242325678910111213141516[[#This Row],[STOK]]-Table242325678910111213141516[[#This Row],[TERJUAL]])</f>
        <v>37</v>
      </c>
      <c r="I56" s="143">
        <f>(Table242325678910111213141516[HARGA JUAL]*Table242325678910111213141516[TERJUAL])-(Table242325678910111213141516[HARGA POKOK]*Table242325678910111213141516[TERJUAL])</f>
        <v>105000</v>
      </c>
      <c r="J56" s="143">
        <f>(Table242325678910111213141516[HARGA JUAL]*Table242325678910111213141516[TERJUAL])</f>
        <v>390000</v>
      </c>
      <c r="K56" s="143">
        <f>Table242325678910111213141516[HARGA JUAL]*Table242325678910111213141516[SISA]</f>
        <v>2405000</v>
      </c>
      <c r="L56" s="144">
        <f>Table242325678910111213141516[HARGA POKOK]*Table242325678910111213141516[STOK]</f>
        <v>2042500</v>
      </c>
      <c r="M56" s="144">
        <f>Table242325678910111213141516[HARGA JUAL]*Table242325678910111213141516[STOK]</f>
        <v>2795000</v>
      </c>
      <c r="N56" s="145"/>
    </row>
    <row r="57" spans="1:14" x14ac:dyDescent="0.25">
      <c r="A57" s="137">
        <v>51</v>
      </c>
      <c r="B57" s="138" t="s">
        <v>32</v>
      </c>
      <c r="C57" s="193" t="s">
        <v>18</v>
      </c>
      <c r="D57" s="140">
        <v>1700</v>
      </c>
      <c r="E57" s="140">
        <v>5000</v>
      </c>
      <c r="F57" s="141">
        <v>125</v>
      </c>
      <c r="G57" s="142">
        <v>29</v>
      </c>
      <c r="H57" s="141">
        <f>(Table242325678910111213141516[[#This Row],[STOK]]-Table242325678910111213141516[[#This Row],[TERJUAL]])</f>
        <v>96</v>
      </c>
      <c r="I57" s="143">
        <f>(Table242325678910111213141516[HARGA JUAL]*Table242325678910111213141516[TERJUAL])-(Table242325678910111213141516[HARGA POKOK]*Table242325678910111213141516[TERJUAL])</f>
        <v>95700</v>
      </c>
      <c r="J57" s="143">
        <f>(Table242325678910111213141516[HARGA JUAL]*Table242325678910111213141516[TERJUAL])</f>
        <v>145000</v>
      </c>
      <c r="K57" s="143">
        <f>Table242325678910111213141516[HARGA JUAL]*Table242325678910111213141516[SISA]</f>
        <v>480000</v>
      </c>
      <c r="L57" s="144">
        <f>Table242325678910111213141516[HARGA POKOK]*Table242325678910111213141516[STOK]</f>
        <v>212500</v>
      </c>
      <c r="M57" s="144">
        <f>Table242325678910111213141516[HARGA JUAL]*Table242325678910111213141516[STOK]</f>
        <v>625000</v>
      </c>
      <c r="N57" s="145"/>
    </row>
    <row r="58" spans="1:14" x14ac:dyDescent="0.25">
      <c r="A58" s="137">
        <v>52</v>
      </c>
      <c r="B58" s="138" t="s">
        <v>32</v>
      </c>
      <c r="C58" s="138" t="s">
        <v>21</v>
      </c>
      <c r="D58" s="140">
        <v>30000</v>
      </c>
      <c r="E58" s="140">
        <v>45000</v>
      </c>
      <c r="F58" s="141">
        <v>2</v>
      </c>
      <c r="G58" s="142"/>
      <c r="H58" s="141">
        <f>(Table242325678910111213141516[[#This Row],[STOK]]-Table242325678910111213141516[[#This Row],[TERJUAL]])</f>
        <v>2</v>
      </c>
      <c r="I58" s="143">
        <f>(Table242325678910111213141516[HARGA JUAL]*Table242325678910111213141516[TERJUAL])-(Table242325678910111213141516[HARGA POKOK]*Table242325678910111213141516[TERJUAL])</f>
        <v>0</v>
      </c>
      <c r="J58" s="143">
        <f>(Table242325678910111213141516[HARGA JUAL]*Table242325678910111213141516[TERJUAL])</f>
        <v>0</v>
      </c>
      <c r="K58" s="143">
        <f>Table242325678910111213141516[HARGA JUAL]*Table242325678910111213141516[SISA]</f>
        <v>90000</v>
      </c>
      <c r="L58" s="144">
        <f>Table242325678910111213141516[HARGA POKOK]*Table242325678910111213141516[STOK]</f>
        <v>60000</v>
      </c>
      <c r="M58" s="144">
        <f>Table242325678910111213141516[HARGA JUAL]*Table242325678910111213141516[STOK]</f>
        <v>90000</v>
      </c>
      <c r="N58" s="145"/>
    </row>
    <row r="59" spans="1:14" x14ac:dyDescent="0.25">
      <c r="A59" s="137">
        <v>53</v>
      </c>
      <c r="B59" s="138" t="s">
        <v>32</v>
      </c>
      <c r="C59" s="138" t="s">
        <v>20</v>
      </c>
      <c r="D59" s="140">
        <v>1500</v>
      </c>
      <c r="E59" s="140">
        <v>5000</v>
      </c>
      <c r="F59" s="141">
        <v>68</v>
      </c>
      <c r="G59" s="142">
        <v>5</v>
      </c>
      <c r="H59" s="141">
        <f>(Table242325678910111213141516[[#This Row],[STOK]]-Table242325678910111213141516[[#This Row],[TERJUAL]])</f>
        <v>63</v>
      </c>
      <c r="I59" s="143">
        <f>(Table242325678910111213141516[HARGA JUAL]*Table242325678910111213141516[TERJUAL])-(Table242325678910111213141516[HARGA POKOK]*Table242325678910111213141516[TERJUAL])</f>
        <v>17500</v>
      </c>
      <c r="J59" s="143">
        <f>(Table242325678910111213141516[HARGA JUAL]*Table242325678910111213141516[TERJUAL])</f>
        <v>25000</v>
      </c>
      <c r="K59" s="143">
        <f>Table242325678910111213141516[HARGA JUAL]*Table242325678910111213141516[SISA]</f>
        <v>315000</v>
      </c>
      <c r="L59" s="144">
        <f>Table242325678910111213141516[HARGA POKOK]*Table242325678910111213141516[STOK]</f>
        <v>102000</v>
      </c>
      <c r="M59" s="144">
        <f>Table242325678910111213141516[HARGA JUAL]*Table242325678910111213141516[STOK]</f>
        <v>340000</v>
      </c>
      <c r="N59" s="145"/>
    </row>
    <row r="60" spans="1:14" x14ac:dyDescent="0.25">
      <c r="A60" s="137">
        <v>54</v>
      </c>
      <c r="B60" s="138" t="s">
        <v>32</v>
      </c>
      <c r="C60" s="138" t="s">
        <v>23</v>
      </c>
      <c r="D60" s="140">
        <v>30000</v>
      </c>
      <c r="E60" s="140">
        <v>40000</v>
      </c>
      <c r="F60" s="141">
        <v>8</v>
      </c>
      <c r="G60" s="142"/>
      <c r="H60" s="141">
        <f>(Table242325678910111213141516[[#This Row],[STOK]]-Table242325678910111213141516[[#This Row],[TERJUAL]])</f>
        <v>8</v>
      </c>
      <c r="I60" s="143">
        <f>(Table242325678910111213141516[HARGA JUAL]*Table242325678910111213141516[TERJUAL])-(Table242325678910111213141516[HARGA POKOK]*Table242325678910111213141516[TERJUAL])</f>
        <v>0</v>
      </c>
      <c r="J60" s="143">
        <f>(Table242325678910111213141516[HARGA JUAL]*Table242325678910111213141516[TERJUAL])</f>
        <v>0</v>
      </c>
      <c r="K60" s="143">
        <f>Table242325678910111213141516[HARGA JUAL]*Table242325678910111213141516[SISA]</f>
        <v>320000</v>
      </c>
      <c r="L60" s="144">
        <f>Table242325678910111213141516[HARGA POKOK]*Table242325678910111213141516[STOK]</f>
        <v>240000</v>
      </c>
      <c r="M60" s="144">
        <f>Table242325678910111213141516[HARGA JUAL]*Table242325678910111213141516[STOK]</f>
        <v>320000</v>
      </c>
      <c r="N60" s="145"/>
    </row>
    <row r="61" spans="1:14" x14ac:dyDescent="0.25">
      <c r="A61" s="137">
        <v>55</v>
      </c>
      <c r="B61" s="138" t="s">
        <v>32</v>
      </c>
      <c r="C61" s="138" t="s">
        <v>19</v>
      </c>
      <c r="D61" s="140">
        <v>1600</v>
      </c>
      <c r="E61" s="140">
        <v>5000</v>
      </c>
      <c r="F61" s="141">
        <v>223</v>
      </c>
      <c r="G61" s="142">
        <v>11</v>
      </c>
      <c r="H61" s="141">
        <f>(Table242325678910111213141516[[#This Row],[STOK]]-Table242325678910111213141516[[#This Row],[TERJUAL]])</f>
        <v>212</v>
      </c>
      <c r="I61" s="143">
        <f>(Table242325678910111213141516[HARGA JUAL]*Table242325678910111213141516[TERJUAL])-(Table242325678910111213141516[HARGA POKOK]*Table242325678910111213141516[TERJUAL])</f>
        <v>37400</v>
      </c>
      <c r="J61" s="143">
        <f>(Table242325678910111213141516[HARGA JUAL]*Table242325678910111213141516[TERJUAL])</f>
        <v>55000</v>
      </c>
      <c r="K61" s="143">
        <f>Table242325678910111213141516[HARGA JUAL]*Table242325678910111213141516[SISA]</f>
        <v>1060000</v>
      </c>
      <c r="L61" s="144">
        <f>Table242325678910111213141516[HARGA POKOK]*Table242325678910111213141516[STOK]</f>
        <v>356800</v>
      </c>
      <c r="M61" s="144">
        <f>Table242325678910111213141516[HARGA JUAL]*Table242325678910111213141516[STOK]</f>
        <v>1115000</v>
      </c>
      <c r="N61" s="145"/>
    </row>
    <row r="62" spans="1:14" x14ac:dyDescent="0.25">
      <c r="A62" s="137">
        <v>56</v>
      </c>
      <c r="B62" s="138" t="s">
        <v>32</v>
      </c>
      <c r="C62" s="138" t="s">
        <v>22</v>
      </c>
      <c r="D62" s="140">
        <v>30000</v>
      </c>
      <c r="E62" s="140">
        <v>40000</v>
      </c>
      <c r="F62" s="141">
        <v>2</v>
      </c>
      <c r="G62" s="142">
        <v>1</v>
      </c>
      <c r="H62" s="141">
        <f>(Table242325678910111213141516[[#This Row],[STOK]]-Table242325678910111213141516[[#This Row],[TERJUAL]])</f>
        <v>1</v>
      </c>
      <c r="I62" s="143">
        <f>(Table242325678910111213141516[HARGA JUAL]*Table242325678910111213141516[TERJUAL])-(Table242325678910111213141516[HARGA POKOK]*Table242325678910111213141516[TERJUAL])</f>
        <v>10000</v>
      </c>
      <c r="J62" s="143">
        <f>(Table242325678910111213141516[HARGA JUAL]*Table242325678910111213141516[TERJUAL])</f>
        <v>40000</v>
      </c>
      <c r="K62" s="143">
        <f>Table242325678910111213141516[HARGA JUAL]*Table242325678910111213141516[SISA]</f>
        <v>40000</v>
      </c>
      <c r="L62" s="144">
        <f>Table242325678910111213141516[HARGA POKOK]*Table242325678910111213141516[STOK]</f>
        <v>60000</v>
      </c>
      <c r="M62" s="144">
        <f>Table242325678910111213141516[HARGA JUAL]*Table242325678910111213141516[STOK]</f>
        <v>80000</v>
      </c>
      <c r="N62" s="145"/>
    </row>
    <row r="63" spans="1:14" x14ac:dyDescent="0.25">
      <c r="A63" s="137">
        <v>57</v>
      </c>
      <c r="B63" s="138" t="s">
        <v>32</v>
      </c>
      <c r="C63" s="138" t="s">
        <v>24</v>
      </c>
      <c r="D63" s="140">
        <v>17500</v>
      </c>
      <c r="E63" s="140">
        <v>40000</v>
      </c>
      <c r="F63" s="141">
        <v>0</v>
      </c>
      <c r="G63" s="142"/>
      <c r="H63" s="141">
        <f>(Table242325678910111213141516[[#This Row],[STOK]]-Table242325678910111213141516[[#This Row],[TERJUAL]])</f>
        <v>0</v>
      </c>
      <c r="I63" s="143">
        <f>(Table242325678910111213141516[HARGA JUAL]*Table242325678910111213141516[TERJUAL])-(Table242325678910111213141516[HARGA POKOK]*Table242325678910111213141516[TERJUAL])</f>
        <v>0</v>
      </c>
      <c r="J63" s="143">
        <f>(Table242325678910111213141516[HARGA JUAL]*Table242325678910111213141516[TERJUAL])</f>
        <v>0</v>
      </c>
      <c r="K63" s="143">
        <f>Table242325678910111213141516[HARGA JUAL]*Table242325678910111213141516[SISA]</f>
        <v>0</v>
      </c>
      <c r="L63" s="144">
        <f>Table242325678910111213141516[HARGA POKOK]*Table242325678910111213141516[STOK]</f>
        <v>0</v>
      </c>
      <c r="M63" s="144">
        <f>Table242325678910111213141516[HARGA JUAL]*Table242325678910111213141516[STOK]</f>
        <v>0</v>
      </c>
      <c r="N63" s="145"/>
    </row>
    <row r="64" spans="1:14" x14ac:dyDescent="0.25">
      <c r="A64" s="137">
        <v>58</v>
      </c>
      <c r="B64" s="138" t="s">
        <v>144</v>
      </c>
      <c r="C64" s="138" t="s">
        <v>145</v>
      </c>
      <c r="D64" s="140">
        <v>3000</v>
      </c>
      <c r="E64" s="140">
        <v>6000</v>
      </c>
      <c r="F64" s="141">
        <v>84</v>
      </c>
      <c r="G64" s="142">
        <v>2</v>
      </c>
      <c r="H64" s="141">
        <f>(Table242325678910111213141516[[#This Row],[STOK]]-Table242325678910111213141516[[#This Row],[TERJUAL]])</f>
        <v>82</v>
      </c>
      <c r="I64" s="143">
        <f>(Table242325678910111213141516[HARGA JUAL]*Table242325678910111213141516[TERJUAL])-(Table242325678910111213141516[HARGA POKOK]*Table242325678910111213141516[TERJUAL])</f>
        <v>6000</v>
      </c>
      <c r="J64" s="143">
        <f>(Table242325678910111213141516[HARGA JUAL]*Table242325678910111213141516[TERJUAL])</f>
        <v>12000</v>
      </c>
      <c r="K64" s="143">
        <f>Table242325678910111213141516[HARGA JUAL]*Table242325678910111213141516[SISA]</f>
        <v>492000</v>
      </c>
      <c r="L64" s="144">
        <f>Table242325678910111213141516[HARGA POKOK]*Table242325678910111213141516[STOK]</f>
        <v>252000</v>
      </c>
      <c r="M64" s="144">
        <f>Table242325678910111213141516[HARGA JUAL]*Table242325678910111213141516[STOK]</f>
        <v>504000</v>
      </c>
      <c r="N64" s="145"/>
    </row>
    <row r="65" spans="1:15" x14ac:dyDescent="0.25">
      <c r="A65" s="291">
        <v>59</v>
      </c>
      <c r="B65" s="292" t="s">
        <v>290</v>
      </c>
      <c r="C65" s="292" t="s">
        <v>188</v>
      </c>
      <c r="D65" s="293">
        <v>364000</v>
      </c>
      <c r="E65" s="293">
        <v>475000</v>
      </c>
      <c r="F65" s="294">
        <v>124</v>
      </c>
      <c r="G65" s="295">
        <v>107</v>
      </c>
      <c r="H65" s="294">
        <f>(Table242325678910111213141516[[#This Row],[STOK]]-Table242325678910111213141516[[#This Row],[TERJUAL]])</f>
        <v>17</v>
      </c>
      <c r="I65" s="296">
        <f>(Table242325678910111213141516[HARGA JUAL]*Table242325678910111213141516[TERJUAL])-(Table242325678910111213141516[HARGA POKOK]*Table242325678910111213141516[TERJUAL])</f>
        <v>11877000</v>
      </c>
      <c r="J65" s="296">
        <f>(Table242325678910111213141516[HARGA JUAL]*Table242325678910111213141516[TERJUAL])</f>
        <v>50825000</v>
      </c>
      <c r="K65" s="296">
        <f>Table242325678910111213141516[HARGA JUAL]*Table242325678910111213141516[SISA]</f>
        <v>8075000</v>
      </c>
      <c r="L65" s="297">
        <f>Table242325678910111213141516[HARGA POKOK]*Table242325678910111213141516[STOK]</f>
        <v>45136000</v>
      </c>
      <c r="M65" s="297">
        <f>Table242325678910111213141516[HARGA JUAL]*Table242325678910111213141516[STOK]</f>
        <v>58900000</v>
      </c>
      <c r="N65" s="298"/>
    </row>
    <row r="66" spans="1:15" x14ac:dyDescent="0.25">
      <c r="A66" s="137">
        <v>60</v>
      </c>
      <c r="B66" s="138" t="s">
        <v>33</v>
      </c>
      <c r="C66" s="138" t="s">
        <v>189</v>
      </c>
      <c r="D66" s="140">
        <v>452000</v>
      </c>
      <c r="E66" s="140">
        <v>560000</v>
      </c>
      <c r="F66" s="141">
        <v>0</v>
      </c>
      <c r="G66" s="142"/>
      <c r="H66" s="141">
        <f>(Table242325678910111213141516[[#This Row],[STOK]]-Table242325678910111213141516[[#This Row],[TERJUAL]])</f>
        <v>0</v>
      </c>
      <c r="I66" s="143">
        <f>(Table242325678910111213141516[HARGA JUAL]*Table242325678910111213141516[TERJUAL])-(Table242325678910111213141516[HARGA POKOK]*Table242325678910111213141516[TERJUAL])</f>
        <v>0</v>
      </c>
      <c r="J66" s="143">
        <f>(Table242325678910111213141516[HARGA JUAL]*Table242325678910111213141516[TERJUAL])</f>
        <v>0</v>
      </c>
      <c r="K66" s="143">
        <f>Table242325678910111213141516[HARGA JUAL]*Table242325678910111213141516[SISA]</f>
        <v>0</v>
      </c>
      <c r="L66" s="144">
        <f>Table242325678910111213141516[HARGA POKOK]*Table242325678910111213141516[STOK]</f>
        <v>0</v>
      </c>
      <c r="M66" s="144">
        <f>Table242325678910111213141516[HARGA JUAL]*Table242325678910111213141516[STOK]</f>
        <v>0</v>
      </c>
      <c r="N66" s="145"/>
    </row>
    <row r="67" spans="1:15" x14ac:dyDescent="0.25">
      <c r="A67" s="137">
        <v>61</v>
      </c>
      <c r="B67" s="138" t="s">
        <v>192</v>
      </c>
      <c r="C67" s="138" t="s">
        <v>142</v>
      </c>
      <c r="D67" s="140">
        <v>310000</v>
      </c>
      <c r="E67" s="140">
        <v>435000</v>
      </c>
      <c r="F67" s="141">
        <v>0</v>
      </c>
      <c r="G67" s="142"/>
      <c r="H67" s="141">
        <f>(Table242325678910111213141516[[#This Row],[STOK]]-Table242325678910111213141516[[#This Row],[TERJUAL]])</f>
        <v>0</v>
      </c>
      <c r="I67" s="143">
        <f>(Table242325678910111213141516[HARGA JUAL]*Table242325678910111213141516[TERJUAL])-(Table242325678910111213141516[HARGA POKOK]*Table242325678910111213141516[TERJUAL])</f>
        <v>0</v>
      </c>
      <c r="J67" s="143">
        <f>(Table242325678910111213141516[HARGA JUAL]*Table242325678910111213141516[TERJUAL])</f>
        <v>0</v>
      </c>
      <c r="K67" s="143">
        <f>Table242325678910111213141516[HARGA JUAL]*Table242325678910111213141516[SISA]</f>
        <v>0</v>
      </c>
      <c r="L67" s="144">
        <f>Table242325678910111213141516[HARGA POKOK]*Table242325678910111213141516[STOK]</f>
        <v>0</v>
      </c>
      <c r="M67" s="144">
        <f>Table242325678910111213141516[HARGA JUAL]*Table242325678910111213141516[STOK]</f>
        <v>0</v>
      </c>
      <c r="N67" s="145"/>
    </row>
    <row r="68" spans="1:15" x14ac:dyDescent="0.25">
      <c r="A68" s="137">
        <v>62</v>
      </c>
      <c r="B68" s="138" t="s">
        <v>192</v>
      </c>
      <c r="C68" s="138" t="s">
        <v>269</v>
      </c>
      <c r="D68" s="140">
        <v>417000</v>
      </c>
      <c r="E68" s="140">
        <v>470000</v>
      </c>
      <c r="F68" s="141"/>
      <c r="G68" s="142"/>
      <c r="H68" s="141">
        <f>(Table242325678910111213141516[[#This Row],[STOK]]-Table242325678910111213141516[[#This Row],[TERJUAL]])</f>
        <v>0</v>
      </c>
      <c r="I68" s="143">
        <f>(Table242325678910111213141516[HARGA JUAL]*Table242325678910111213141516[TERJUAL])-(Table242325678910111213141516[HARGA POKOK]*Table242325678910111213141516[TERJUAL])</f>
        <v>0</v>
      </c>
      <c r="J68" s="143">
        <f>(Table242325678910111213141516[HARGA JUAL]*Table242325678910111213141516[TERJUAL])</f>
        <v>0</v>
      </c>
      <c r="K68" s="143">
        <f>Table242325678910111213141516[HARGA JUAL]*Table242325678910111213141516[SISA]</f>
        <v>0</v>
      </c>
      <c r="L68" s="144">
        <f>Table242325678910111213141516[HARGA POKOK]*Table242325678910111213141516[STOK]</f>
        <v>0</v>
      </c>
      <c r="M68" s="144">
        <f>Table242325678910111213141516[HARGA JUAL]*Table242325678910111213141516[STOK]</f>
        <v>0</v>
      </c>
      <c r="N68" s="145"/>
    </row>
    <row r="69" spans="1:15" x14ac:dyDescent="0.25">
      <c r="A69" s="137">
        <v>63</v>
      </c>
      <c r="B69" s="138" t="s">
        <v>193</v>
      </c>
      <c r="C69" s="138" t="s">
        <v>191</v>
      </c>
      <c r="D69" s="140">
        <v>9000</v>
      </c>
      <c r="E69" s="140">
        <v>15000</v>
      </c>
      <c r="F69" s="141">
        <v>36</v>
      </c>
      <c r="G69" s="142">
        <v>23</v>
      </c>
      <c r="H69" s="141">
        <f>(Table242325678910111213141516[[#This Row],[STOK]]-Table242325678910111213141516[[#This Row],[TERJUAL]])</f>
        <v>13</v>
      </c>
      <c r="I69" s="143">
        <f>(Table242325678910111213141516[HARGA JUAL]*Table242325678910111213141516[TERJUAL])-(Table242325678910111213141516[HARGA POKOK]*Table242325678910111213141516[TERJUAL])</f>
        <v>138000</v>
      </c>
      <c r="J69" s="143">
        <f>(Table242325678910111213141516[HARGA JUAL]*Table242325678910111213141516[TERJUAL])</f>
        <v>345000</v>
      </c>
      <c r="K69" s="143">
        <f>Table242325678910111213141516[HARGA JUAL]*Table242325678910111213141516[SISA]</f>
        <v>195000</v>
      </c>
      <c r="L69" s="144">
        <f>Table242325678910111213141516[HARGA POKOK]*Table242325678910111213141516[STOK]</f>
        <v>324000</v>
      </c>
      <c r="M69" s="144">
        <f>Table242325678910111213141516[HARGA JUAL]*Table242325678910111213141516[STOK]</f>
        <v>540000</v>
      </c>
      <c r="N69" s="145" t="s">
        <v>292</v>
      </c>
    </row>
    <row r="70" spans="1:15" x14ac:dyDescent="0.25">
      <c r="A70" s="137">
        <v>64</v>
      </c>
      <c r="B70" s="138" t="s">
        <v>193</v>
      </c>
      <c r="C70" s="138" t="s">
        <v>214</v>
      </c>
      <c r="D70" s="140">
        <v>9000</v>
      </c>
      <c r="E70" s="140">
        <v>15000</v>
      </c>
      <c r="F70" s="141">
        <v>7</v>
      </c>
      <c r="G70" s="142">
        <v>7</v>
      </c>
      <c r="H70" s="141">
        <f>(Table242325678910111213141516[[#This Row],[STOK]]-Table242325678910111213141516[[#This Row],[TERJUAL]])</f>
        <v>0</v>
      </c>
      <c r="I70" s="143">
        <f>(Table242325678910111213141516[HARGA JUAL]*Table242325678910111213141516[TERJUAL])-(Table242325678910111213141516[HARGA POKOK]*Table242325678910111213141516[TERJUAL])</f>
        <v>42000</v>
      </c>
      <c r="J70" s="143">
        <f>(Table242325678910111213141516[HARGA JUAL]*Table242325678910111213141516[TERJUAL])</f>
        <v>105000</v>
      </c>
      <c r="K70" s="143">
        <f>Table242325678910111213141516[HARGA JUAL]*Table242325678910111213141516[SISA]</f>
        <v>0</v>
      </c>
      <c r="L70" s="144">
        <f>Table242325678910111213141516[HARGA POKOK]*Table242325678910111213141516[STOK]</f>
        <v>63000</v>
      </c>
      <c r="M70" s="144">
        <f>Table242325678910111213141516[HARGA JUAL]*Table242325678910111213141516[STOK]</f>
        <v>105000</v>
      </c>
      <c r="N70" s="145"/>
    </row>
    <row r="71" spans="1:15" x14ac:dyDescent="0.25">
      <c r="A71" s="137">
        <v>65</v>
      </c>
      <c r="B71" s="138" t="s">
        <v>206</v>
      </c>
      <c r="C71" s="138" t="s">
        <v>207</v>
      </c>
      <c r="D71" s="140">
        <v>12000</v>
      </c>
      <c r="E71" s="140">
        <v>28000</v>
      </c>
      <c r="F71" s="141">
        <v>0</v>
      </c>
      <c r="G71" s="142"/>
      <c r="H71" s="141">
        <f>(Table242325678910111213141516[[#This Row],[STOK]]-Table242325678910111213141516[[#This Row],[TERJUAL]])</f>
        <v>0</v>
      </c>
      <c r="I71" s="143">
        <f>(Table242325678910111213141516[HARGA JUAL]*Table242325678910111213141516[TERJUAL])-(Table242325678910111213141516[HARGA POKOK]*Table242325678910111213141516[TERJUAL])</f>
        <v>0</v>
      </c>
      <c r="J71" s="143">
        <f>(Table242325678910111213141516[HARGA JUAL]*Table242325678910111213141516[TERJUAL])</f>
        <v>0</v>
      </c>
      <c r="K71" s="143">
        <f>Table242325678910111213141516[HARGA JUAL]*Table242325678910111213141516[SISA]</f>
        <v>0</v>
      </c>
      <c r="L71" s="144">
        <f>Table242325678910111213141516[HARGA POKOK]*Table242325678910111213141516[STOK]</f>
        <v>0</v>
      </c>
      <c r="M71" s="144">
        <f>Table242325678910111213141516[HARGA JUAL]*Table242325678910111213141516[STOK]</f>
        <v>0</v>
      </c>
      <c r="N71" s="145"/>
    </row>
    <row r="72" spans="1:15" x14ac:dyDescent="0.25">
      <c r="A72" s="137">
        <v>66</v>
      </c>
      <c r="B72" s="138" t="s">
        <v>206</v>
      </c>
      <c r="C72" s="138" t="s">
        <v>208</v>
      </c>
      <c r="D72" s="140">
        <v>21000</v>
      </c>
      <c r="E72" s="140">
        <v>45000</v>
      </c>
      <c r="F72" s="141">
        <v>0</v>
      </c>
      <c r="G72" s="142"/>
      <c r="H72" s="141">
        <f>(Table242325678910111213141516[[#This Row],[STOK]]-Table242325678910111213141516[[#This Row],[TERJUAL]])</f>
        <v>0</v>
      </c>
      <c r="I72" s="143">
        <f>(Table242325678910111213141516[HARGA JUAL]*Table242325678910111213141516[TERJUAL])-(Table242325678910111213141516[HARGA POKOK]*Table242325678910111213141516[TERJUAL])</f>
        <v>0</v>
      </c>
      <c r="J72" s="143">
        <f>(Table242325678910111213141516[HARGA JUAL]*Table242325678910111213141516[TERJUAL])</f>
        <v>0</v>
      </c>
      <c r="K72" s="143">
        <f>Table242325678910111213141516[HARGA JUAL]*Table242325678910111213141516[SISA]</f>
        <v>0</v>
      </c>
      <c r="L72" s="144">
        <f>Table242325678910111213141516[HARGA POKOK]*Table242325678910111213141516[STOK]</f>
        <v>0</v>
      </c>
      <c r="M72" s="144">
        <f>Table242325678910111213141516[HARGA JUAL]*Table242325678910111213141516[STOK]</f>
        <v>0</v>
      </c>
      <c r="N72" s="145"/>
    </row>
    <row r="73" spans="1:15" x14ac:dyDescent="0.25">
      <c r="A73" s="137">
        <v>67</v>
      </c>
      <c r="B73" s="138" t="s">
        <v>209</v>
      </c>
      <c r="C73" s="138" t="s">
        <v>210</v>
      </c>
      <c r="D73" s="140">
        <v>20000</v>
      </c>
      <c r="E73" s="140">
        <v>40000</v>
      </c>
      <c r="F73" s="141">
        <v>3</v>
      </c>
      <c r="G73" s="142"/>
      <c r="H73" s="141">
        <f>(Table242325678910111213141516[[#This Row],[STOK]]-Table242325678910111213141516[[#This Row],[TERJUAL]])</f>
        <v>3</v>
      </c>
      <c r="I73" s="143">
        <f>(Table242325678910111213141516[HARGA JUAL]*Table242325678910111213141516[TERJUAL])-(Table242325678910111213141516[HARGA POKOK]*Table242325678910111213141516[TERJUAL])</f>
        <v>0</v>
      </c>
      <c r="J73" s="143">
        <f>(Table242325678910111213141516[HARGA JUAL]*Table242325678910111213141516[TERJUAL])</f>
        <v>0</v>
      </c>
      <c r="K73" s="143">
        <f>Table242325678910111213141516[HARGA JUAL]*Table242325678910111213141516[SISA]</f>
        <v>120000</v>
      </c>
      <c r="L73" s="144">
        <f>Table242325678910111213141516[HARGA POKOK]*Table242325678910111213141516[STOK]</f>
        <v>60000</v>
      </c>
      <c r="M73" s="144">
        <f>Table242325678910111213141516[HARGA JUAL]*Table242325678910111213141516[STOK]</f>
        <v>120000</v>
      </c>
      <c r="N73" s="145"/>
    </row>
    <row r="74" spans="1:15" x14ac:dyDescent="0.25">
      <c r="A74" s="137">
        <v>68</v>
      </c>
      <c r="B74" s="138" t="s">
        <v>209</v>
      </c>
      <c r="C74" s="138" t="s">
        <v>211</v>
      </c>
      <c r="D74" s="140">
        <v>26000</v>
      </c>
      <c r="E74" s="140">
        <v>45000</v>
      </c>
      <c r="F74" s="141">
        <v>3</v>
      </c>
      <c r="G74" s="142"/>
      <c r="H74" s="141">
        <f>(Table242325678910111213141516[[#This Row],[STOK]]-Table242325678910111213141516[[#This Row],[TERJUAL]])</f>
        <v>3</v>
      </c>
      <c r="I74" s="143">
        <f>(Table242325678910111213141516[HARGA JUAL]*Table242325678910111213141516[TERJUAL])-(Table242325678910111213141516[HARGA POKOK]*Table242325678910111213141516[TERJUAL])</f>
        <v>0</v>
      </c>
      <c r="J74" s="143">
        <f>(Table242325678910111213141516[HARGA JUAL]*Table242325678910111213141516[TERJUAL])</f>
        <v>0</v>
      </c>
      <c r="K74" s="143">
        <f>Table242325678910111213141516[HARGA JUAL]*Table242325678910111213141516[SISA]</f>
        <v>135000</v>
      </c>
      <c r="L74" s="144">
        <f>Table242325678910111213141516[HARGA POKOK]*Table242325678910111213141516[STOK]</f>
        <v>78000</v>
      </c>
      <c r="M74" s="144">
        <f>Table242325678910111213141516[HARGA JUAL]*Table242325678910111213141516[STOK]</f>
        <v>135000</v>
      </c>
      <c r="N74" s="145"/>
    </row>
    <row r="75" spans="1:15" x14ac:dyDescent="0.25">
      <c r="A75" s="137">
        <v>69</v>
      </c>
      <c r="B75" s="138" t="s">
        <v>212</v>
      </c>
      <c r="C75" s="138" t="s">
        <v>213</v>
      </c>
      <c r="D75" s="140">
        <v>600000</v>
      </c>
      <c r="E75" s="140">
        <v>800000</v>
      </c>
      <c r="F75" s="141">
        <v>1</v>
      </c>
      <c r="G75" s="142"/>
      <c r="H75" s="141">
        <f>(Table242325678910111213141516[[#This Row],[STOK]]-Table242325678910111213141516[[#This Row],[TERJUAL]])</f>
        <v>1</v>
      </c>
      <c r="I75" s="143">
        <f>(Table242325678910111213141516[HARGA JUAL]*Table242325678910111213141516[TERJUAL])-(Table242325678910111213141516[HARGA POKOK]*Table242325678910111213141516[TERJUAL])</f>
        <v>0</v>
      </c>
      <c r="J75" s="143">
        <f>(Table242325678910111213141516[HARGA JUAL]*Table242325678910111213141516[TERJUAL])</f>
        <v>0</v>
      </c>
      <c r="K75" s="143">
        <f>Table242325678910111213141516[HARGA JUAL]*Table242325678910111213141516[SISA]</f>
        <v>800000</v>
      </c>
      <c r="L75" s="144">
        <f>Table242325678910111213141516[HARGA POKOK]*Table242325678910111213141516[STOK]</f>
        <v>600000</v>
      </c>
      <c r="M75" s="144">
        <f>Table242325678910111213141516[HARGA JUAL]*Table242325678910111213141516[STOK]</f>
        <v>800000</v>
      </c>
      <c r="N75" s="145"/>
    </row>
    <row r="76" spans="1:15" x14ac:dyDescent="0.25">
      <c r="A76" s="192">
        <v>70</v>
      </c>
      <c r="B76" s="193" t="s">
        <v>194</v>
      </c>
      <c r="C76" s="193" t="s">
        <v>194</v>
      </c>
      <c r="D76" s="194">
        <v>30000</v>
      </c>
      <c r="E76" s="194">
        <v>40000</v>
      </c>
      <c r="F76" s="195">
        <v>12</v>
      </c>
      <c r="G76" s="196">
        <v>1</v>
      </c>
      <c r="H76" s="195">
        <f>(Table242325678910111213141516[[#This Row],[STOK]]-Table242325678910111213141516[[#This Row],[TERJUAL]])</f>
        <v>11</v>
      </c>
      <c r="I76" s="197">
        <f>(Table242325678910111213141516[HARGA JUAL]*Table242325678910111213141516[TERJUAL])-(Table242325678910111213141516[HARGA POKOK]*Table242325678910111213141516[TERJUAL])</f>
        <v>10000</v>
      </c>
      <c r="J76" s="197">
        <f>(Table242325678910111213141516[HARGA JUAL]*Table242325678910111213141516[TERJUAL])</f>
        <v>40000</v>
      </c>
      <c r="K76" s="197"/>
      <c r="L76" s="198"/>
      <c r="M76" s="198"/>
      <c r="N76" s="199"/>
    </row>
    <row r="77" spans="1:15" x14ac:dyDescent="0.25">
      <c r="A77" s="137">
        <v>71</v>
      </c>
      <c r="B77" s="146" t="s">
        <v>195</v>
      </c>
      <c r="C77" s="146" t="s">
        <v>195</v>
      </c>
      <c r="D77" s="147">
        <v>30000</v>
      </c>
      <c r="E77" s="147">
        <v>40000</v>
      </c>
      <c r="F77" s="148">
        <v>15</v>
      </c>
      <c r="G77" s="149"/>
      <c r="H77" s="148">
        <f>(Table242325678910111213141516[[#This Row],[STOK]]-Table242325678910111213141516[[#This Row],[TERJUAL]])</f>
        <v>15</v>
      </c>
      <c r="I77" s="150">
        <f>(Table242325678910111213141516[HARGA JUAL]*Table242325678910111213141516[TERJUAL])-(Table242325678910111213141516[HARGA POKOK]*Table242325678910111213141516[TERJUAL])</f>
        <v>0</v>
      </c>
      <c r="J77" s="150">
        <f>(Table242325678910111213141516[HARGA JUAL]*Table242325678910111213141516[TERJUAL])</f>
        <v>0</v>
      </c>
      <c r="K77" s="150">
        <f>Table242325678910111213141516[HARGA JUAL]*Table242325678910111213141516[SISA]</f>
        <v>600000</v>
      </c>
      <c r="L77" s="151">
        <f>Table242325678910111213141516[HARGA POKOK]*Table242325678910111213141516[STOK]</f>
        <v>450000</v>
      </c>
      <c r="M77" s="151">
        <f>Table242325678910111213141516[HARGA JUAL]*Table242325678910111213141516[STOK]</f>
        <v>600000</v>
      </c>
      <c r="N77" s="152"/>
    </row>
    <row r="78" spans="1:15" x14ac:dyDescent="0.25">
      <c r="A78" s="192">
        <v>72</v>
      </c>
      <c r="B78" s="193" t="s">
        <v>215</v>
      </c>
      <c r="C78" s="193" t="s">
        <v>215</v>
      </c>
      <c r="D78" s="194">
        <v>310000</v>
      </c>
      <c r="E78" s="194">
        <v>410000</v>
      </c>
      <c r="F78" s="195">
        <v>3</v>
      </c>
      <c r="G78" s="196">
        <v>3</v>
      </c>
      <c r="H78" s="195">
        <f>(Table242325678910111213141516[[#This Row],[STOK]]-Table242325678910111213141516[[#This Row],[TERJUAL]])</f>
        <v>0</v>
      </c>
      <c r="I78" s="197">
        <f>(Table242325678910111213141516[HARGA JUAL]*Table242325678910111213141516[TERJUAL])-(Table242325678910111213141516[HARGA POKOK]*Table242325678910111213141516[TERJUAL])</f>
        <v>300000</v>
      </c>
      <c r="J78" s="197">
        <f>(Table242325678910111213141516[HARGA JUAL]*Table242325678910111213141516[TERJUAL])</f>
        <v>1230000</v>
      </c>
      <c r="K78" s="197">
        <f>Table242325678910111213141516[HARGA JUAL]*Table242325678910111213141516[SISA]</f>
        <v>0</v>
      </c>
      <c r="L78" s="198">
        <f>Table242325678910111213141516[HARGA POKOK]*Table242325678910111213141516[STOK]</f>
        <v>930000</v>
      </c>
      <c r="M78" s="198">
        <f>Table242325678910111213141516[HARGA JUAL]*Table242325678910111213141516[STOK]</f>
        <v>1230000</v>
      </c>
      <c r="N78" s="199"/>
    </row>
    <row r="79" spans="1:15" s="180" customFormat="1" x14ac:dyDescent="0.25">
      <c r="A79" s="137">
        <v>73</v>
      </c>
      <c r="B79" s="153" t="s">
        <v>212</v>
      </c>
      <c r="C79" s="153" t="s">
        <v>213</v>
      </c>
      <c r="D79" s="154">
        <v>6000</v>
      </c>
      <c r="E79" s="154">
        <v>8000</v>
      </c>
      <c r="F79" s="155"/>
      <c r="G79" s="178"/>
      <c r="H79" s="155">
        <f>(Table242325678910111213141516[[#This Row],[STOK]]-Table242325678910111213141516[[#This Row],[TERJUAL]])</f>
        <v>0</v>
      </c>
      <c r="I79" s="157">
        <f>(Table242325678910111213141516[HARGA JUAL]*Table242325678910111213141516[TERJUAL])-(Table242325678910111213141516[HARGA POKOK]*Table242325678910111213141516[TERJUAL])</f>
        <v>0</v>
      </c>
      <c r="J79" s="157">
        <f>(Table242325678910111213141516[HARGA JUAL]*Table242325678910111213141516[TERJUAL])</f>
        <v>0</v>
      </c>
      <c r="K79" s="157"/>
      <c r="L79" s="158"/>
      <c r="M79" s="158"/>
      <c r="N79" s="179"/>
      <c r="O79" s="201"/>
    </row>
    <row r="80" spans="1:15" s="180" customFormat="1" x14ac:dyDescent="0.25">
      <c r="A80" s="137">
        <v>74</v>
      </c>
      <c r="B80" s="153" t="s">
        <v>71</v>
      </c>
      <c r="C80" s="153" t="s">
        <v>194</v>
      </c>
      <c r="D80" s="154">
        <v>1200</v>
      </c>
      <c r="E80" s="154">
        <v>2000</v>
      </c>
      <c r="F80" s="155"/>
      <c r="G80" s="156">
        <v>20</v>
      </c>
      <c r="H80" s="155">
        <f>(Table242325678910111213141516[[#This Row],[STOK]]-Table242325678910111213141516[[#This Row],[TERJUAL]])</f>
        <v>-20</v>
      </c>
      <c r="I80" s="157">
        <f>(Table242325678910111213141516[HARGA JUAL]*Table242325678910111213141516[TERJUAL])-(Table242325678910111213141516[HARGA POKOK]*Table242325678910111213141516[TERJUAL])</f>
        <v>16000</v>
      </c>
      <c r="J80" s="157">
        <f>(Table242325678910111213141516[HARGA JUAL]*Table242325678910111213141516[TERJUAL])</f>
        <v>40000</v>
      </c>
      <c r="K80" s="157"/>
      <c r="L80" s="158"/>
      <c r="M80" s="158"/>
      <c r="N80" s="179"/>
      <c r="O80" s="201"/>
    </row>
    <row r="81" spans="1:15" s="180" customFormat="1" x14ac:dyDescent="0.25">
      <c r="A81" s="137">
        <v>75</v>
      </c>
      <c r="B81" s="153" t="s">
        <v>71</v>
      </c>
      <c r="C81" s="153" t="s">
        <v>195</v>
      </c>
      <c r="D81" s="154">
        <v>700</v>
      </c>
      <c r="E81" s="154">
        <v>1500</v>
      </c>
      <c r="F81" s="155"/>
      <c r="G81" s="156">
        <v>5</v>
      </c>
      <c r="H81" s="155">
        <f>(Table242325678910111213141516[[#This Row],[STOK]]-Table242325678910111213141516[[#This Row],[TERJUAL]])</f>
        <v>-5</v>
      </c>
      <c r="I81" s="157">
        <f>(Table242325678910111213141516[HARGA JUAL]*Table242325678910111213141516[TERJUAL])-(Table242325678910111213141516[HARGA POKOK]*Table242325678910111213141516[TERJUAL])</f>
        <v>4000</v>
      </c>
      <c r="J81" s="157">
        <f>(Table242325678910111213141516[HARGA JUAL]*Table242325678910111213141516[TERJUAL])</f>
        <v>7500</v>
      </c>
      <c r="K81" s="157"/>
      <c r="L81" s="158"/>
      <c r="M81" s="158"/>
      <c r="N81" s="179"/>
      <c r="O81" s="201"/>
    </row>
    <row r="82" spans="1:15" s="201" customFormat="1" x14ac:dyDescent="0.25">
      <c r="A82" s="261">
        <v>76</v>
      </c>
      <c r="B82" s="256" t="s">
        <v>68</v>
      </c>
      <c r="C82" s="256" t="s">
        <v>69</v>
      </c>
      <c r="D82" s="268">
        <v>7300</v>
      </c>
      <c r="E82" s="262">
        <v>10000</v>
      </c>
      <c r="F82" s="263"/>
      <c r="G82" s="269">
        <v>632</v>
      </c>
      <c r="H82" s="263">
        <f>(Table242325678910111213141516[[#This Row],[STOK]]-Table242325678910111213141516[[#This Row],[TERJUAL]])</f>
        <v>-632</v>
      </c>
      <c r="I82" s="265">
        <f>(Table242325678910111213141516[HARGA JUAL]*Table242325678910111213141516[TERJUAL])-(Table242325678910111213141516[HARGA POKOK]*Table242325678910111213141516[TERJUAL])</f>
        <v>1706400</v>
      </c>
      <c r="J82" s="265">
        <f>(Table242325678910111213141516[HARGA JUAL]*Table242325678910111213141516[TERJUAL])</f>
        <v>6320000</v>
      </c>
      <c r="K82" s="265"/>
      <c r="L82" s="266"/>
      <c r="M82" s="266"/>
      <c r="N82" s="267"/>
    </row>
    <row r="83" spans="1:15" s="180" customFormat="1" x14ac:dyDescent="0.25">
      <c r="A83" s="137">
        <v>77</v>
      </c>
      <c r="B83" s="153" t="s">
        <v>173</v>
      </c>
      <c r="C83" s="153" t="s">
        <v>174</v>
      </c>
      <c r="D83" s="159">
        <v>9040</v>
      </c>
      <c r="E83" s="154">
        <v>12000</v>
      </c>
      <c r="F83" s="155"/>
      <c r="G83" s="156"/>
      <c r="H83" s="155">
        <f>(Table242325678910111213141516[[#This Row],[STOK]]-Table242325678910111213141516[[#This Row],[TERJUAL]])</f>
        <v>0</v>
      </c>
      <c r="I83" s="157">
        <f>(Table242325678910111213141516[HARGA JUAL]*Table242325678910111213141516[TERJUAL])-(Table242325678910111213141516[HARGA POKOK]*Table242325678910111213141516[TERJUAL])</f>
        <v>0</v>
      </c>
      <c r="J83" s="157">
        <f>(Table242325678910111213141516[HARGA JUAL]*Table242325678910111213141516[TERJUAL])</f>
        <v>0</v>
      </c>
      <c r="K83" s="157"/>
      <c r="L83" s="158"/>
      <c r="M83" s="158"/>
      <c r="N83" s="179"/>
      <c r="O83" s="201"/>
    </row>
    <row r="84" spans="1:15" s="180" customFormat="1" x14ac:dyDescent="0.25">
      <c r="A84" s="137">
        <v>78</v>
      </c>
      <c r="B84" s="153" t="s">
        <v>146</v>
      </c>
      <c r="C84" s="153" t="s">
        <v>152</v>
      </c>
      <c r="D84" s="159">
        <v>6200</v>
      </c>
      <c r="E84" s="154">
        <v>10000</v>
      </c>
      <c r="F84" s="155"/>
      <c r="G84" s="160"/>
      <c r="H84" s="155">
        <f>(Table242325678910111213141516[[#This Row],[STOK]]-Table242325678910111213141516[[#This Row],[TERJUAL]])</f>
        <v>0</v>
      </c>
      <c r="I84" s="157">
        <f>(Table242325678910111213141516[HARGA JUAL]*Table242325678910111213141516[TERJUAL])-(Table242325678910111213141516[HARGA POKOK]*Table242325678910111213141516[TERJUAL])</f>
        <v>0</v>
      </c>
      <c r="J84" s="157">
        <f>(Table242325678910111213141516[HARGA JUAL]*Table242325678910111213141516[TERJUAL])</f>
        <v>0</v>
      </c>
      <c r="K84" s="157"/>
      <c r="L84" s="158"/>
      <c r="M84" s="158"/>
      <c r="N84" s="179"/>
      <c r="O84" s="201"/>
    </row>
    <row r="85" spans="1:15" s="180" customFormat="1" x14ac:dyDescent="0.25">
      <c r="A85" s="137">
        <v>79</v>
      </c>
      <c r="B85" s="153" t="s">
        <v>147</v>
      </c>
      <c r="C85" s="153" t="s">
        <v>153</v>
      </c>
      <c r="D85" s="159">
        <v>5600</v>
      </c>
      <c r="E85" s="154">
        <v>10000</v>
      </c>
      <c r="F85" s="155"/>
      <c r="G85" s="160"/>
      <c r="H85" s="155">
        <f>(Table242325678910111213141516[[#This Row],[STOK]]-Table242325678910111213141516[[#This Row],[TERJUAL]])</f>
        <v>0</v>
      </c>
      <c r="I85" s="157">
        <f>(Table242325678910111213141516[HARGA JUAL]*Table242325678910111213141516[TERJUAL])-(Table242325678910111213141516[HARGA POKOK]*Table242325678910111213141516[TERJUAL])</f>
        <v>0</v>
      </c>
      <c r="J85" s="157">
        <f>(Table242325678910111213141516[HARGA JUAL]*Table242325678910111213141516[TERJUAL])</f>
        <v>0</v>
      </c>
      <c r="K85" s="157"/>
      <c r="L85" s="158"/>
      <c r="M85" s="158"/>
      <c r="N85" s="179"/>
      <c r="O85" s="201"/>
    </row>
    <row r="86" spans="1:15" s="180" customFormat="1" x14ac:dyDescent="0.25">
      <c r="A86" s="137">
        <v>80</v>
      </c>
      <c r="B86" s="167" t="s">
        <v>31</v>
      </c>
      <c r="C86" s="167" t="s">
        <v>282</v>
      </c>
      <c r="D86" s="168">
        <v>3000</v>
      </c>
      <c r="E86" s="169">
        <v>5000</v>
      </c>
      <c r="F86" s="170"/>
      <c r="G86" s="171">
        <v>2</v>
      </c>
      <c r="H86" s="172">
        <f>(Table242325678910111213141516[[#This Row],[STOK]]-Table242325678910111213141516[[#This Row],[TERJUAL]])</f>
        <v>-2</v>
      </c>
      <c r="I86" s="173">
        <f>(Table242325678910111213141516[HARGA JUAL]*Table242325678910111213141516[TERJUAL])-(Table242325678910111213141516[HARGA POKOK]*Table242325678910111213141516[TERJUAL])</f>
        <v>4000</v>
      </c>
      <c r="J86" s="173">
        <f>(Table242325678910111213141516[HARGA JUAL]*Table242325678910111213141516[TERJUAL])</f>
        <v>10000</v>
      </c>
      <c r="K86" s="173"/>
      <c r="L86" s="174"/>
      <c r="M86" s="174"/>
      <c r="N86" s="181"/>
      <c r="O86" s="201"/>
    </row>
    <row r="87" spans="1:15" s="180" customFormat="1" x14ac:dyDescent="0.25">
      <c r="A87" s="255"/>
      <c r="B87" s="167" t="s">
        <v>31</v>
      </c>
      <c r="C87" s="167" t="s">
        <v>283</v>
      </c>
      <c r="D87" s="168">
        <v>3000</v>
      </c>
      <c r="E87" s="169">
        <v>5000</v>
      </c>
      <c r="F87" s="170"/>
      <c r="G87" s="171"/>
      <c r="H87" s="172">
        <f>(Table242325678910111213141516[[#This Row],[STOK]]-Table242325678910111213141516[[#This Row],[TERJUAL]])</f>
        <v>0</v>
      </c>
      <c r="I87" s="173">
        <f>(Table242325678910111213141516[HARGA JUAL]*Table242325678910111213141516[TERJUAL])-(Table242325678910111213141516[HARGA POKOK]*Table242325678910111213141516[TERJUAL])</f>
        <v>0</v>
      </c>
      <c r="J87" s="173">
        <f>(Table242325678910111213141516[HARGA JUAL]*Table242325678910111213141516[TERJUAL])</f>
        <v>0</v>
      </c>
      <c r="K87" s="173"/>
      <c r="L87" s="174">
        <f>Table242325678910111213141516[HARGA POKOK]*Table242325678910111213141516[STOK]</f>
        <v>0</v>
      </c>
      <c r="M87" s="174">
        <f>Table242325678910111213141516[HARGA JUAL]*Table242325678910111213141516[STOK]</f>
        <v>0</v>
      </c>
      <c r="N87" s="181"/>
      <c r="O87" s="201"/>
    </row>
    <row r="88" spans="1:15" s="180" customFormat="1" x14ac:dyDescent="0.25">
      <c r="A88" s="255"/>
      <c r="B88" s="167" t="s">
        <v>31</v>
      </c>
      <c r="C88" s="167" t="s">
        <v>284</v>
      </c>
      <c r="D88" s="168">
        <v>3000</v>
      </c>
      <c r="E88" s="169">
        <v>5000</v>
      </c>
      <c r="F88" s="170"/>
      <c r="G88" s="171">
        <v>3</v>
      </c>
      <c r="H88" s="172">
        <f>(Table242325678910111213141516[[#This Row],[STOK]]-Table242325678910111213141516[[#This Row],[TERJUAL]])</f>
        <v>-3</v>
      </c>
      <c r="I88" s="173">
        <f>(Table242325678910111213141516[HARGA JUAL]*Table242325678910111213141516[TERJUAL])-(Table242325678910111213141516[HARGA POKOK]*Table242325678910111213141516[TERJUAL])</f>
        <v>6000</v>
      </c>
      <c r="J88" s="173">
        <f>(Table242325678910111213141516[HARGA JUAL]*Table242325678910111213141516[TERJUAL])</f>
        <v>15000</v>
      </c>
      <c r="K88" s="173"/>
      <c r="L88" s="174">
        <f>Table242325678910111213141516[HARGA POKOK]*Table242325678910111213141516[STOK]</f>
        <v>0</v>
      </c>
      <c r="M88" s="174">
        <f>Table242325678910111213141516[HARGA JUAL]*Table242325678910111213141516[STOK]</f>
        <v>0</v>
      </c>
      <c r="N88" s="181"/>
      <c r="O88" s="201"/>
    </row>
    <row r="89" spans="1:15" s="180" customFormat="1" x14ac:dyDescent="0.25">
      <c r="A89" s="255"/>
      <c r="B89" s="167" t="s">
        <v>31</v>
      </c>
      <c r="C89" s="167" t="s">
        <v>307</v>
      </c>
      <c r="D89" s="168">
        <v>2000</v>
      </c>
      <c r="E89" s="169">
        <v>5000</v>
      </c>
      <c r="F89" s="170"/>
      <c r="G89" s="171"/>
      <c r="H89" s="172">
        <f>(Table242325678910111213141516[[#This Row],[STOK]]-Table242325678910111213141516[[#This Row],[TERJUAL]])</f>
        <v>0</v>
      </c>
      <c r="I89" s="173">
        <f>(Table242325678910111213141516[HARGA JUAL]*Table242325678910111213141516[TERJUAL])-(Table242325678910111213141516[HARGA POKOK]*Table242325678910111213141516[TERJUAL])</f>
        <v>0</v>
      </c>
      <c r="J89" s="173">
        <f>(Table242325678910111213141516[HARGA JUAL]*Table242325678910111213141516[TERJUAL])</f>
        <v>0</v>
      </c>
      <c r="K89" s="173">
        <f>Table242325678910111213141516[HARGA JUAL]*Table242325678910111213141516[SISA]</f>
        <v>0</v>
      </c>
      <c r="L89" s="174">
        <f>Table242325678910111213141516[HARGA POKOK]*Table242325678910111213141516[STOK]</f>
        <v>0</v>
      </c>
      <c r="M89" s="174">
        <f>Table242325678910111213141516[HARGA JUAL]*Table242325678910111213141516[STOK]</f>
        <v>0</v>
      </c>
      <c r="N89" s="181"/>
      <c r="O89" s="201"/>
    </row>
    <row r="90" spans="1:15" s="180" customFormat="1" x14ac:dyDescent="0.25">
      <c r="A90" s="255"/>
      <c r="B90" s="167" t="s">
        <v>308</v>
      </c>
      <c r="C90" s="167" t="s">
        <v>205</v>
      </c>
      <c r="D90" s="168">
        <v>45000</v>
      </c>
      <c r="E90" s="169">
        <v>50000</v>
      </c>
      <c r="F90" s="170">
        <v>100</v>
      </c>
      <c r="G90" s="171">
        <v>17</v>
      </c>
      <c r="H90" s="172">
        <f>(Table242325678910111213141516[[#This Row],[STOK]]-Table242325678910111213141516[[#This Row],[TERJUAL]])</f>
        <v>83</v>
      </c>
      <c r="I90" s="173">
        <f>(Table242325678910111213141516[HARGA JUAL]*Table242325678910111213141516[TERJUAL])-(Table242325678910111213141516[HARGA POKOK]*Table242325678910111213141516[TERJUAL])</f>
        <v>85000</v>
      </c>
      <c r="J90" s="173">
        <f>(Table242325678910111213141516[HARGA JUAL]*Table242325678910111213141516[TERJUAL])</f>
        <v>850000</v>
      </c>
      <c r="K90" s="173">
        <f>Table242325678910111213141516[HARGA JUAL]*Table242325678910111213141516[SISA]</f>
        <v>4150000</v>
      </c>
      <c r="L90" s="174">
        <f>Table242325678910111213141516[HARGA POKOK]*Table242325678910111213141516[STOK]</f>
        <v>4500000</v>
      </c>
      <c r="M90" s="174">
        <f>Table242325678910111213141516[HARGA JUAL]*Table242325678910111213141516[STOK]</f>
        <v>5000000</v>
      </c>
      <c r="N90" s="181"/>
      <c r="O90" s="201"/>
    </row>
    <row r="91" spans="1:15" ht="18.75" x14ac:dyDescent="0.25">
      <c r="A91" s="404" t="s">
        <v>8</v>
      </c>
      <c r="B91" s="404"/>
      <c r="C91" s="404"/>
      <c r="D91" s="404"/>
      <c r="E91" s="404"/>
      <c r="F91" s="39"/>
      <c r="G91" s="39"/>
      <c r="H91" s="40"/>
      <c r="I91" s="175">
        <f>SUM(I5:I90)</f>
        <v>17690500</v>
      </c>
      <c r="J91" s="176">
        <f>SUM(J5:J90)</f>
        <v>75307500</v>
      </c>
      <c r="K91" s="41">
        <f>SUBTOTAL(109,Table242325678910111213141516[TOTAL HARGA SISA BARANG])</f>
        <v>116257000</v>
      </c>
      <c r="L91" s="177">
        <f>SUM(L5:L90)</f>
        <v>144066300</v>
      </c>
      <c r="M91" s="42">
        <f>SUM(M5:M69)</f>
        <v>177142000</v>
      </c>
      <c r="N91" s="145"/>
    </row>
    <row r="92" spans="1:15" x14ac:dyDescent="0.25">
      <c r="B92" s="1"/>
      <c r="C92" s="3"/>
      <c r="G92" s="1"/>
      <c r="H92" s="11"/>
      <c r="I92" s="6"/>
      <c r="J92" s="6"/>
      <c r="K92" s="6"/>
      <c r="L92" s="1"/>
      <c r="M92" s="1"/>
    </row>
    <row r="93" spans="1:15" x14ac:dyDescent="0.25">
      <c r="A93" s="165"/>
      <c r="B93" s="28"/>
      <c r="C93" s="28"/>
      <c r="E93" s="386" t="s">
        <v>304</v>
      </c>
      <c r="F93" s="386"/>
      <c r="G93" s="386"/>
      <c r="H93" s="386"/>
      <c r="I93" s="386"/>
      <c r="J93" s="386"/>
      <c r="K93" s="275"/>
      <c r="L93" s="1"/>
      <c r="M93" s="1"/>
    </row>
    <row r="94" spans="1:15" x14ac:dyDescent="0.25">
      <c r="A94" s="165" t="s">
        <v>198</v>
      </c>
      <c r="B94" s="28"/>
      <c r="C94" s="28"/>
      <c r="E94" s="161"/>
      <c r="F94" s="161"/>
      <c r="G94" s="387"/>
      <c r="H94" s="387"/>
      <c r="I94" s="28"/>
      <c r="J94" s="28"/>
      <c r="K94" s="28"/>
      <c r="L94" s="7"/>
    </row>
    <row r="95" spans="1:15" x14ac:dyDescent="0.25">
      <c r="A95" s="165" t="s">
        <v>199</v>
      </c>
      <c r="B95" s="1"/>
      <c r="C95" s="3"/>
      <c r="E95" s="161"/>
      <c r="F95" s="161"/>
      <c r="G95" s="94"/>
      <c r="H95" s="94"/>
      <c r="I95" s="28"/>
      <c r="J95" s="28"/>
      <c r="K95" s="28"/>
      <c r="L95" s="28"/>
    </row>
    <row r="96" spans="1:15" x14ac:dyDescent="0.25">
      <c r="A96" s="165" t="s">
        <v>200</v>
      </c>
      <c r="E96" s="43" t="s">
        <v>82</v>
      </c>
      <c r="F96" s="44"/>
      <c r="G96" s="390">
        <f>SUBTOTAL(109,Table242325678910111213141516[TOTAL H. B. LAKU TERJUAL])</f>
        <v>75307500</v>
      </c>
      <c r="H96" s="390"/>
      <c r="I96" s="390"/>
      <c r="J96" s="43"/>
      <c r="K96" s="7"/>
      <c r="L96" s="27"/>
      <c r="M96" s="1"/>
    </row>
    <row r="97" spans="1:13" x14ac:dyDescent="0.25">
      <c r="A97" s="165" t="s">
        <v>305</v>
      </c>
      <c r="C97" s="1"/>
      <c r="E97" s="43"/>
      <c r="F97" s="44"/>
      <c r="G97" s="276"/>
      <c r="H97" s="276"/>
      <c r="I97" s="276"/>
      <c r="J97" s="43"/>
      <c r="K97" s="7"/>
      <c r="L97" s="27"/>
      <c r="M97" s="1"/>
    </row>
    <row r="98" spans="1:13" x14ac:dyDescent="0.25">
      <c r="A98" s="407" t="s">
        <v>0</v>
      </c>
      <c r="B98" s="406" t="s">
        <v>275</v>
      </c>
      <c r="C98" s="406"/>
      <c r="E98" s="43" t="s">
        <v>83</v>
      </c>
      <c r="F98" s="45" t="s">
        <v>84</v>
      </c>
      <c r="G98" s="391">
        <v>1632000</v>
      </c>
      <c r="H98" s="391"/>
      <c r="I98" s="391"/>
      <c r="J98" s="43"/>
      <c r="K98" s="7"/>
      <c r="L98" s="27"/>
      <c r="M98" s="1"/>
    </row>
    <row r="99" spans="1:13" x14ac:dyDescent="0.25">
      <c r="A99" s="407"/>
      <c r="B99" s="225" t="s">
        <v>276</v>
      </c>
      <c r="C99" s="228" t="s">
        <v>277</v>
      </c>
      <c r="E99" s="43" t="s">
        <v>8</v>
      </c>
      <c r="F99" s="43"/>
      <c r="G99" s="392">
        <v>73675500</v>
      </c>
      <c r="H99" s="392"/>
      <c r="I99" s="392"/>
      <c r="J99" s="43"/>
      <c r="K99" s="7"/>
      <c r="L99" s="27"/>
      <c r="M99" s="1"/>
    </row>
    <row r="100" spans="1:13" x14ac:dyDescent="0.25">
      <c r="A100" s="145"/>
      <c r="B100" s="228">
        <v>98</v>
      </c>
      <c r="C100" s="228">
        <v>9</v>
      </c>
      <c r="M100" s="1"/>
    </row>
    <row r="101" spans="1:13" x14ac:dyDescent="0.25">
      <c r="A101" s="7"/>
      <c r="B101" s="277"/>
      <c r="C101" s="277"/>
      <c r="M101" s="1"/>
    </row>
    <row r="102" spans="1:13" x14ac:dyDescent="0.25">
      <c r="A102" s="7"/>
      <c r="B102" s="277"/>
      <c r="C102" s="277"/>
      <c r="M102" s="1"/>
    </row>
    <row r="103" spans="1:13" x14ac:dyDescent="0.25">
      <c r="A103" s="7"/>
      <c r="B103" s="277"/>
      <c r="C103" s="277"/>
      <c r="M103" s="1"/>
    </row>
    <row r="104" spans="1:13" x14ac:dyDescent="0.25">
      <c r="A104" s="7"/>
      <c r="B104" s="277"/>
      <c r="C104" s="277"/>
      <c r="M104" s="1"/>
    </row>
    <row r="105" spans="1:13" x14ac:dyDescent="0.25">
      <c r="A105" s="7"/>
      <c r="B105" s="277"/>
      <c r="C105" s="277"/>
      <c r="M105" s="1"/>
    </row>
    <row r="106" spans="1:13" x14ac:dyDescent="0.25">
      <c r="A106" s="7"/>
      <c r="B106" s="277"/>
      <c r="C106" s="277"/>
      <c r="M106" s="1"/>
    </row>
    <row r="107" spans="1:13" x14ac:dyDescent="0.25">
      <c r="A107" s="7"/>
      <c r="B107" s="277"/>
      <c r="C107" s="277"/>
      <c r="M107" s="1"/>
    </row>
    <row r="108" spans="1:13" x14ac:dyDescent="0.25">
      <c r="A108" s="7"/>
      <c r="B108" s="277"/>
      <c r="C108" s="277"/>
      <c r="M108" s="1"/>
    </row>
    <row r="109" spans="1:13" x14ac:dyDescent="0.25">
      <c r="A109" s="7"/>
      <c r="B109" s="277"/>
      <c r="C109" s="277"/>
      <c r="M109" s="1"/>
    </row>
    <row r="110" spans="1:13" x14ac:dyDescent="0.25">
      <c r="A110" s="7"/>
      <c r="B110" s="277"/>
      <c r="C110" s="277"/>
      <c r="M110" s="1"/>
    </row>
    <row r="111" spans="1:13" x14ac:dyDescent="0.25">
      <c r="A111" s="7"/>
      <c r="B111" s="277"/>
      <c r="C111" s="277"/>
      <c r="M111" s="1"/>
    </row>
    <row r="112" spans="1:13" ht="18.75" x14ac:dyDescent="0.3">
      <c r="A112" s="360" t="s">
        <v>99</v>
      </c>
      <c r="B112" s="360"/>
      <c r="C112" s="360"/>
      <c r="D112" s="360"/>
    </row>
    <row r="113" spans="1:12" ht="18.75" x14ac:dyDescent="0.3">
      <c r="A113" s="360" t="s">
        <v>306</v>
      </c>
      <c r="B113" s="360"/>
      <c r="C113" s="360"/>
      <c r="D113" s="360"/>
    </row>
    <row r="114" spans="1:12" ht="18.75" x14ac:dyDescent="0.3">
      <c r="A114" s="360" t="s">
        <v>75</v>
      </c>
      <c r="B114" s="360"/>
      <c r="C114" s="360"/>
      <c r="D114" s="360"/>
    </row>
    <row r="115" spans="1:12" ht="15.75" x14ac:dyDescent="0.25">
      <c r="A115" s="356" t="s">
        <v>111</v>
      </c>
      <c r="B115" s="357"/>
      <c r="C115" s="356" t="s">
        <v>77</v>
      </c>
      <c r="D115" s="357"/>
      <c r="E115" s="7"/>
    </row>
    <row r="116" spans="1:12" ht="15.75" x14ac:dyDescent="0.25">
      <c r="A116" s="273" t="s">
        <v>103</v>
      </c>
      <c r="B116" s="274"/>
      <c r="C116" s="46"/>
      <c r="D116" s="203">
        <v>73675500</v>
      </c>
      <c r="E116" s="218"/>
    </row>
    <row r="117" spans="1:12" ht="15.75" x14ac:dyDescent="0.25">
      <c r="A117" s="354" t="s">
        <v>102</v>
      </c>
      <c r="B117" s="355"/>
      <c r="C117" s="46"/>
      <c r="D117" s="204"/>
      <c r="E117" s="219"/>
    </row>
    <row r="118" spans="1:12" ht="15.75" x14ac:dyDescent="0.25">
      <c r="A118" s="356" t="s">
        <v>104</v>
      </c>
      <c r="B118" s="357"/>
      <c r="C118" s="46"/>
      <c r="D118" s="203"/>
      <c r="E118" s="219"/>
    </row>
    <row r="119" spans="1:12" ht="15.75" x14ac:dyDescent="0.25">
      <c r="A119" s="350" t="s">
        <v>106</v>
      </c>
      <c r="B119" s="351"/>
      <c r="C119" s="46"/>
      <c r="D119" s="204">
        <v>55985000</v>
      </c>
      <c r="E119" s="219"/>
      <c r="F119" s="220"/>
      <c r="G119" s="220"/>
      <c r="H119" s="221"/>
      <c r="I119" s="222"/>
    </row>
    <row r="120" spans="1:12" ht="15.75" x14ac:dyDescent="0.25">
      <c r="A120" s="358" t="s">
        <v>161</v>
      </c>
      <c r="B120" s="359"/>
      <c r="C120" s="49"/>
      <c r="D120" s="205">
        <v>17690500</v>
      </c>
      <c r="E120" s="218"/>
      <c r="F120" s="223"/>
      <c r="G120" s="223"/>
      <c r="H120" s="224"/>
      <c r="I120" s="224"/>
    </row>
    <row r="121" spans="1:12" ht="15.75" x14ac:dyDescent="0.25">
      <c r="A121" s="400" t="s">
        <v>162</v>
      </c>
      <c r="B121" s="401"/>
      <c r="C121" s="49"/>
      <c r="D121" s="205">
        <v>17690500</v>
      </c>
      <c r="F121" s="7"/>
      <c r="G121" s="7"/>
      <c r="I121" s="186"/>
      <c r="L121" s="183"/>
    </row>
    <row r="122" spans="1:12" ht="15.75" x14ac:dyDescent="0.25">
      <c r="A122" s="346" t="s">
        <v>105</v>
      </c>
      <c r="B122" s="347"/>
      <c r="C122" s="46"/>
      <c r="D122" s="207"/>
      <c r="I122" s="186"/>
      <c r="L122" s="183"/>
    </row>
    <row r="123" spans="1:12" ht="15.75" x14ac:dyDescent="0.25">
      <c r="A123" s="348" t="s">
        <v>97</v>
      </c>
      <c r="B123" s="349"/>
      <c r="C123" s="46">
        <v>2000000</v>
      </c>
      <c r="D123" s="204"/>
      <c r="I123" s="187"/>
      <c r="L123" s="183"/>
    </row>
    <row r="124" spans="1:12" ht="15.75" x14ac:dyDescent="0.25">
      <c r="A124" s="350" t="s">
        <v>98</v>
      </c>
      <c r="B124" s="351"/>
      <c r="C124" s="46">
        <v>440000</v>
      </c>
      <c r="D124" s="204"/>
      <c r="L124" s="183"/>
    </row>
    <row r="125" spans="1:12" ht="15.75" x14ac:dyDescent="0.25">
      <c r="A125" s="350" t="s">
        <v>287</v>
      </c>
      <c r="B125" s="351"/>
      <c r="C125" s="46">
        <v>100000</v>
      </c>
      <c r="D125" s="204"/>
      <c r="L125" s="183"/>
    </row>
    <row r="126" spans="1:12" ht="15.75" x14ac:dyDescent="0.25">
      <c r="A126" s="350" t="s">
        <v>296</v>
      </c>
      <c r="B126" s="410"/>
      <c r="C126" s="46">
        <v>335000</v>
      </c>
      <c r="D126" s="204"/>
      <c r="L126" s="183"/>
    </row>
    <row r="127" spans="1:12" ht="15.75" x14ac:dyDescent="0.25">
      <c r="A127" s="350" t="s">
        <v>127</v>
      </c>
      <c r="B127" s="351"/>
      <c r="C127" s="46">
        <v>2000000</v>
      </c>
      <c r="D127" s="204"/>
      <c r="L127" s="183"/>
    </row>
    <row r="128" spans="1:12" ht="15.75" x14ac:dyDescent="0.25">
      <c r="A128" s="408" t="s">
        <v>288</v>
      </c>
      <c r="B128" s="409"/>
      <c r="C128" s="114">
        <v>57000</v>
      </c>
      <c r="D128" s="208"/>
    </row>
    <row r="129" spans="1:4" ht="15.75" x14ac:dyDescent="0.25">
      <c r="A129" s="352" t="s">
        <v>107</v>
      </c>
      <c r="B129" s="353"/>
      <c r="C129" s="51" t="s">
        <v>117</v>
      </c>
      <c r="D129" s="209">
        <f>SUM(C123:C128)</f>
        <v>4932000</v>
      </c>
    </row>
    <row r="130" spans="1:4" ht="15.75" x14ac:dyDescent="0.25">
      <c r="A130" s="344" t="s">
        <v>108</v>
      </c>
      <c r="B130" s="345"/>
      <c r="C130" s="51"/>
      <c r="D130" s="204"/>
    </row>
    <row r="131" spans="1:4" ht="15.75" x14ac:dyDescent="0.25">
      <c r="A131" s="346" t="s">
        <v>109</v>
      </c>
      <c r="B131" s="347"/>
      <c r="C131" s="48"/>
      <c r="D131" s="205">
        <f>(D121-D129)</f>
        <v>12758500</v>
      </c>
    </row>
    <row r="133" spans="1:4" x14ac:dyDescent="0.25">
      <c r="A133" s="277"/>
      <c r="B133" s="277"/>
      <c r="C133" s="277"/>
      <c r="D133" s="7"/>
    </row>
    <row r="134" spans="1:4" x14ac:dyDescent="0.25">
      <c r="A134" s="277"/>
      <c r="B134" s="221"/>
      <c r="C134" s="222"/>
      <c r="D134" s="7"/>
    </row>
    <row r="135" spans="1:4" x14ac:dyDescent="0.25">
      <c r="A135" s="277"/>
      <c r="B135" s="221"/>
      <c r="C135" s="222"/>
      <c r="D135" s="7"/>
    </row>
    <row r="136" spans="1:4" x14ac:dyDescent="0.25">
      <c r="A136" s="277"/>
      <c r="B136" s="221"/>
      <c r="C136" s="222"/>
      <c r="D136" s="7"/>
    </row>
    <row r="137" spans="1:4" x14ac:dyDescent="0.25">
      <c r="A137" s="277"/>
      <c r="B137" s="221"/>
      <c r="C137" s="222"/>
      <c r="D137" s="7"/>
    </row>
    <row r="138" spans="1:4" x14ac:dyDescent="0.25">
      <c r="A138" s="277"/>
      <c r="B138" s="299"/>
      <c r="C138" s="222"/>
      <c r="D138" s="7"/>
    </row>
    <row r="139" spans="1:4" x14ac:dyDescent="0.25">
      <c r="A139" s="7"/>
      <c r="B139" s="7"/>
      <c r="C139" s="7"/>
      <c r="D139" s="7"/>
    </row>
    <row r="140" spans="1:4" x14ac:dyDescent="0.25">
      <c r="A140" s="7"/>
      <c r="B140" s="7"/>
      <c r="C140" s="7"/>
      <c r="D140" s="7"/>
    </row>
  </sheetData>
  <mergeCells count="30">
    <mergeCell ref="A113:D113"/>
    <mergeCell ref="A1:N1"/>
    <mergeCell ref="A2:N2"/>
    <mergeCell ref="A91:E91"/>
    <mergeCell ref="E93:J93"/>
    <mergeCell ref="G94:H94"/>
    <mergeCell ref="G96:I96"/>
    <mergeCell ref="A98:A99"/>
    <mergeCell ref="B98:C98"/>
    <mergeCell ref="G98:I98"/>
    <mergeCell ref="G99:I99"/>
    <mergeCell ref="A112:D112"/>
    <mergeCell ref="A125:B125"/>
    <mergeCell ref="A114:D114"/>
    <mergeCell ref="A115:B115"/>
    <mergeCell ref="C115:D115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9:B129"/>
    <mergeCell ref="A130:B130"/>
    <mergeCell ref="A131:B131"/>
    <mergeCell ref="A126:B126"/>
    <mergeCell ref="A127:B127"/>
    <mergeCell ref="A128:B128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1"/>
  <sheetViews>
    <sheetView topLeftCell="A79" workbookViewId="0">
      <selection activeCell="F87" sqref="F87"/>
    </sheetView>
  </sheetViews>
  <sheetFormatPr defaultRowHeight="15" x14ac:dyDescent="0.25"/>
  <cols>
    <col min="1" max="1" width="6.28515625" style="58" customWidth="1"/>
    <col min="2" max="2" width="23.28515625" style="18" customWidth="1"/>
    <col min="3" max="3" width="27.5703125" style="19" customWidth="1"/>
    <col min="4" max="4" width="18.7109375" style="58" customWidth="1"/>
    <col min="5" max="5" width="16.28515625" style="58" bestFit="1" customWidth="1"/>
    <col min="6" max="6" width="10.7109375" style="58" bestFit="1" customWidth="1"/>
    <col min="7" max="7" width="13.7109375" style="18" bestFit="1" customWidth="1"/>
    <col min="8" max="8" width="14.28515625" style="59" customWidth="1"/>
    <col min="9" max="9" width="19.5703125" style="60" customWidth="1"/>
    <col min="10" max="10" width="27.7109375" style="60" customWidth="1"/>
    <col min="11" max="11" width="28.7109375" style="60" customWidth="1"/>
    <col min="12" max="12" width="21.5703125" style="18" bestFit="1" customWidth="1"/>
    <col min="13" max="13" width="20.7109375" style="18" customWidth="1"/>
    <col min="14" max="14" width="10.5703125" style="58" customWidth="1"/>
    <col min="15" max="16384" width="9.140625" style="58"/>
  </cols>
  <sheetData>
    <row r="1" spans="1:14" ht="21" x14ac:dyDescent="0.35">
      <c r="A1" s="362" t="s">
        <v>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</row>
    <row r="2" spans="1:14" ht="18.75" x14ac:dyDescent="0.3">
      <c r="A2" s="363" t="s">
        <v>311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</row>
    <row r="4" spans="1:14" ht="15.75" x14ac:dyDescent="0.25">
      <c r="A4" s="15" t="s">
        <v>0</v>
      </c>
      <c r="B4" s="16" t="s">
        <v>1</v>
      </c>
      <c r="C4" s="17" t="s">
        <v>2</v>
      </c>
      <c r="D4" s="16" t="s">
        <v>119</v>
      </c>
      <c r="E4" s="16" t="s">
        <v>94</v>
      </c>
      <c r="F4" s="16" t="s">
        <v>4</v>
      </c>
      <c r="G4" s="16" t="s">
        <v>5</v>
      </c>
      <c r="H4" s="61" t="s">
        <v>6</v>
      </c>
      <c r="I4" s="62" t="s">
        <v>7</v>
      </c>
      <c r="J4" s="62" t="s">
        <v>100</v>
      </c>
      <c r="K4" s="62" t="s">
        <v>101</v>
      </c>
      <c r="L4" s="16" t="s">
        <v>95</v>
      </c>
      <c r="M4" s="16" t="s">
        <v>96</v>
      </c>
      <c r="N4" s="16" t="s">
        <v>72</v>
      </c>
    </row>
    <row r="5" spans="1:14" x14ac:dyDescent="0.25">
      <c r="A5" s="18">
        <v>1</v>
      </c>
      <c r="B5" s="19" t="s">
        <v>27</v>
      </c>
      <c r="C5" s="19" t="s">
        <v>41</v>
      </c>
      <c r="D5" s="20">
        <v>73500</v>
      </c>
      <c r="E5" s="21">
        <v>95000</v>
      </c>
      <c r="F5" s="18">
        <v>138</v>
      </c>
      <c r="G5" s="18">
        <v>17</v>
      </c>
      <c r="H5" s="63">
        <f>Table2417[STOK]-Table2417[TERJUAL]</f>
        <v>121</v>
      </c>
      <c r="I5" s="21">
        <f>(Table2417[HRGA JUAL]*Table2417[TERJUAL])-(Table2417[HARGA POKOK]*Table2417[TERJUAL])</f>
        <v>365500</v>
      </c>
      <c r="J5" s="21">
        <f>(Table2417[HRGA JUAL]*Table2417[TERJUAL])</f>
        <v>1615000</v>
      </c>
      <c r="K5" s="21">
        <f>Table2417[HRGA JUAL]*Table2417[SISA]</f>
        <v>11495000</v>
      </c>
      <c r="L5" s="64">
        <f>Table2417[HARGA POKOK]*Table2417[STOK]</f>
        <v>10143000</v>
      </c>
      <c r="M5" s="64">
        <f>Table2417[HRGA JUAL]*Table2417[STOK]</f>
        <v>13110000</v>
      </c>
    </row>
    <row r="6" spans="1:14" x14ac:dyDescent="0.25">
      <c r="A6" s="22">
        <v>2</v>
      </c>
      <c r="B6" s="19" t="s">
        <v>27</v>
      </c>
      <c r="C6" s="278" t="s">
        <v>42</v>
      </c>
      <c r="D6" s="24">
        <v>58500</v>
      </c>
      <c r="E6" s="24">
        <v>80000</v>
      </c>
      <c r="F6" s="22">
        <v>53</v>
      </c>
      <c r="G6" s="22">
        <v>2</v>
      </c>
      <c r="H6" s="65">
        <f>Table2417[STOK]-Table2417[TERJUAL]</f>
        <v>51</v>
      </c>
      <c r="I6" s="21">
        <f>(Table2417[HRGA JUAL]*Table2417[TERJUAL])-(Table2417[HARGA POKOK]*Table2417[TERJUAL])</f>
        <v>43000</v>
      </c>
      <c r="J6" s="24">
        <f>(Table2417[HRGA JUAL]*Table2417[TERJUAL])</f>
        <v>160000</v>
      </c>
      <c r="K6" s="24">
        <f>Table2417[HRGA JUAL]*Table2417[SISA]</f>
        <v>4080000</v>
      </c>
      <c r="L6" s="64">
        <f>Table2417[HARGA POKOK]*Table2417[STOK]</f>
        <v>3100500</v>
      </c>
      <c r="M6" s="64">
        <f>Table2417[HRGA JUAL]*Table2417[STOK]</f>
        <v>4240000</v>
      </c>
    </row>
    <row r="7" spans="1:14" x14ac:dyDescent="0.25">
      <c r="A7" s="18">
        <v>3</v>
      </c>
      <c r="B7" s="19" t="s">
        <v>27</v>
      </c>
      <c r="C7" s="19" t="s">
        <v>43</v>
      </c>
      <c r="D7" s="21">
        <v>52500</v>
      </c>
      <c r="E7" s="21">
        <v>75000</v>
      </c>
      <c r="F7" s="18">
        <v>40</v>
      </c>
      <c r="H7" s="63">
        <f>Table2417[STOK]-Table2417[TERJUAL]</f>
        <v>40</v>
      </c>
      <c r="I7" s="21">
        <f>(Table2417[HRGA JUAL]*Table2417[TERJUAL])-(Table2417[HARGA POKOK]*Table2417[TERJUAL])</f>
        <v>0</v>
      </c>
      <c r="J7" s="21">
        <f>(Table2417[HRGA JUAL]*Table2417[TERJUAL])</f>
        <v>0</v>
      </c>
      <c r="K7" s="21">
        <f>Table2417[HRGA JUAL]*Table2417[SISA]</f>
        <v>3000000</v>
      </c>
      <c r="L7" s="64">
        <f>Table2417[HARGA POKOK]*Table2417[STOK]</f>
        <v>2100000</v>
      </c>
      <c r="M7" s="64">
        <f>Table2417[HRGA JUAL]*Table2417[STOK]</f>
        <v>3000000</v>
      </c>
    </row>
    <row r="8" spans="1:14" x14ac:dyDescent="0.25">
      <c r="A8" s="22">
        <v>4</v>
      </c>
      <c r="B8" s="19" t="s">
        <v>27</v>
      </c>
      <c r="C8" s="19" t="s">
        <v>44</v>
      </c>
      <c r="D8" s="21">
        <v>63500</v>
      </c>
      <c r="E8" s="21">
        <v>80000</v>
      </c>
      <c r="F8" s="18">
        <v>80</v>
      </c>
      <c r="G8" s="18">
        <v>9</v>
      </c>
      <c r="H8" s="63">
        <f>Table2417[STOK]-Table2417[TERJUAL]</f>
        <v>71</v>
      </c>
      <c r="I8" s="21">
        <f>(Table2417[HRGA JUAL]*Table2417[TERJUAL])-(Table2417[HARGA POKOK]*Table2417[TERJUAL])</f>
        <v>148500</v>
      </c>
      <c r="J8" s="21">
        <f>(Table2417[HRGA JUAL]*Table2417[TERJUAL])</f>
        <v>720000</v>
      </c>
      <c r="K8" s="21">
        <f>Table2417[HRGA JUAL]*Table2417[SISA]</f>
        <v>5680000</v>
      </c>
      <c r="L8" s="64">
        <f>Table2417[HARGA POKOK]*Table2417[STOK]</f>
        <v>5080000</v>
      </c>
      <c r="M8" s="64">
        <f>Table2417[HRGA JUAL]*Table2417[STOK]</f>
        <v>6400000</v>
      </c>
    </row>
    <row r="9" spans="1:14" x14ac:dyDescent="0.25">
      <c r="A9" s="18">
        <v>5</v>
      </c>
      <c r="B9" s="19" t="s">
        <v>27</v>
      </c>
      <c r="C9" s="19" t="s">
        <v>45</v>
      </c>
      <c r="D9" s="21">
        <v>58500</v>
      </c>
      <c r="E9" s="21">
        <v>80000</v>
      </c>
      <c r="F9" s="18">
        <v>86</v>
      </c>
      <c r="G9" s="18">
        <v>2</v>
      </c>
      <c r="H9" s="63">
        <f>Table2417[STOK]-Table2417[TERJUAL]</f>
        <v>84</v>
      </c>
      <c r="I9" s="21">
        <f>(Table2417[HRGA JUAL]*Table2417[TERJUAL])-(Table2417[HARGA POKOK]*Table2417[TERJUAL])</f>
        <v>43000</v>
      </c>
      <c r="J9" s="21">
        <f>(Table2417[HRGA JUAL]*Table2417[TERJUAL])</f>
        <v>160000</v>
      </c>
      <c r="K9" s="21">
        <f>Table2417[HRGA JUAL]*Table2417[SISA]</f>
        <v>6720000</v>
      </c>
      <c r="L9" s="64">
        <f>Table2417[HARGA POKOK]*Table2417[STOK]</f>
        <v>5031000</v>
      </c>
      <c r="M9" s="64">
        <f>Table2417[HRGA JUAL]*Table2417[STOK]</f>
        <v>6880000</v>
      </c>
    </row>
    <row r="10" spans="1:14" x14ac:dyDescent="0.25">
      <c r="A10" s="22">
        <v>6</v>
      </c>
      <c r="B10" s="19" t="s">
        <v>27</v>
      </c>
      <c r="C10" s="19" t="s">
        <v>46</v>
      </c>
      <c r="D10" s="21">
        <v>83500</v>
      </c>
      <c r="E10" s="21">
        <v>110000</v>
      </c>
      <c r="F10" s="18">
        <v>40</v>
      </c>
      <c r="H10" s="63">
        <f>Table2417[STOK]-Table2417[TERJUAL]</f>
        <v>40</v>
      </c>
      <c r="I10" s="21">
        <f>(Table2417[HRGA JUAL]*Table2417[TERJUAL])-(Table2417[HARGA POKOK]*Table2417[TERJUAL])</f>
        <v>0</v>
      </c>
      <c r="J10" s="21">
        <f>(Table2417[HRGA JUAL]*Table2417[TERJUAL])</f>
        <v>0</v>
      </c>
      <c r="K10" s="21">
        <f>Table2417[HRGA JUAL]*Table2417[SISA]</f>
        <v>4400000</v>
      </c>
      <c r="L10" s="64">
        <f>Table2417[HARGA POKOK]*Table2417[STOK]</f>
        <v>3340000</v>
      </c>
      <c r="M10" s="64">
        <f>Table2417[HRGA JUAL]*Table2417[STOK]</f>
        <v>4400000</v>
      </c>
    </row>
    <row r="11" spans="1:14" x14ac:dyDescent="0.25">
      <c r="A11" s="18">
        <v>7</v>
      </c>
      <c r="B11" s="19" t="s">
        <v>28</v>
      </c>
      <c r="C11" s="19" t="s">
        <v>38</v>
      </c>
      <c r="D11" s="21">
        <v>88500</v>
      </c>
      <c r="E11" s="21">
        <v>115000</v>
      </c>
      <c r="F11" s="18">
        <v>18</v>
      </c>
      <c r="G11" s="18">
        <v>1</v>
      </c>
      <c r="H11" s="63">
        <f>Table2417[STOK]-Table2417[TERJUAL]</f>
        <v>17</v>
      </c>
      <c r="I11" s="21">
        <f>(Table2417[HRGA JUAL]*Table2417[TERJUAL])-(Table2417[HARGA POKOK]*Table2417[TERJUAL])</f>
        <v>26500</v>
      </c>
      <c r="J11" s="21">
        <f>(Table2417[HRGA JUAL]*Table2417[TERJUAL])</f>
        <v>115000</v>
      </c>
      <c r="K11" s="21">
        <f>Table2417[HRGA JUAL]*Table2417[SISA]</f>
        <v>1955000</v>
      </c>
      <c r="L11" s="64">
        <f>Table2417[HARGA POKOK]*Table2417[STOK]</f>
        <v>1593000</v>
      </c>
      <c r="M11" s="64">
        <f>Table2417[HRGA JUAL]*Table2417[STOK]</f>
        <v>2070000</v>
      </c>
    </row>
    <row r="12" spans="1:14" x14ac:dyDescent="0.25">
      <c r="A12" s="22">
        <v>8</v>
      </c>
      <c r="B12" s="278" t="s">
        <v>28</v>
      </c>
      <c r="C12" s="278" t="s">
        <v>10</v>
      </c>
      <c r="D12" s="24">
        <v>84500</v>
      </c>
      <c r="E12" s="24">
        <v>90000</v>
      </c>
      <c r="F12" s="22">
        <v>66</v>
      </c>
      <c r="G12" s="22">
        <v>1</v>
      </c>
      <c r="H12" s="65">
        <f>Table2417[STOK]-Table2417[TERJUAL]</f>
        <v>65</v>
      </c>
      <c r="I12" s="21">
        <f>(Table2417[HRGA JUAL]*Table2417[TERJUAL])-(Table2417[HARGA POKOK]*Table2417[TERJUAL])</f>
        <v>5500</v>
      </c>
      <c r="J12" s="24">
        <f>(Table2417[HRGA JUAL]*Table2417[TERJUAL])</f>
        <v>90000</v>
      </c>
      <c r="K12" s="24">
        <f>Table2417[HRGA JUAL]*Table2417[SISA]</f>
        <v>5850000</v>
      </c>
      <c r="L12" s="64">
        <f>Table2417[HARGA POKOK]*Table2417[STOK]</f>
        <v>5577000</v>
      </c>
      <c r="M12" s="64">
        <f>Table2417[HRGA JUAL]*Table2417[STOK]</f>
        <v>5940000</v>
      </c>
    </row>
    <row r="13" spans="1:14" x14ac:dyDescent="0.25">
      <c r="A13" s="18">
        <v>9</v>
      </c>
      <c r="B13" s="278" t="s">
        <v>28</v>
      </c>
      <c r="C13" s="19" t="s">
        <v>11</v>
      </c>
      <c r="D13" s="21">
        <v>158000</v>
      </c>
      <c r="E13" s="21">
        <v>180000</v>
      </c>
      <c r="F13" s="18">
        <v>21</v>
      </c>
      <c r="G13" s="18">
        <v>4</v>
      </c>
      <c r="H13" s="63">
        <f>Table2417[STOK]-Table2417[TERJUAL]</f>
        <v>17</v>
      </c>
      <c r="I13" s="21">
        <f>(Table2417[HRGA JUAL]*Table2417[TERJUAL])-(Table2417[HARGA POKOK]*Table2417[TERJUAL])</f>
        <v>88000</v>
      </c>
      <c r="J13" s="21">
        <f>(Table2417[HRGA JUAL]*Table2417[TERJUAL])</f>
        <v>720000</v>
      </c>
      <c r="K13" s="21">
        <f>Table2417[HRGA JUAL]*Table2417[SISA]</f>
        <v>3060000</v>
      </c>
      <c r="L13" s="64">
        <f>Table2417[HARGA POKOK]*Table2417[STOK]</f>
        <v>3318000</v>
      </c>
      <c r="M13" s="64">
        <f>Table2417[HRGA JUAL]*Table2417[STOK]</f>
        <v>3780000</v>
      </c>
    </row>
    <row r="14" spans="1:14" x14ac:dyDescent="0.25">
      <c r="A14" s="22">
        <v>10</v>
      </c>
      <c r="B14" s="278" t="s">
        <v>28</v>
      </c>
      <c r="C14" s="19" t="s">
        <v>12</v>
      </c>
      <c r="D14" s="21">
        <v>133000</v>
      </c>
      <c r="E14" s="21">
        <v>165000</v>
      </c>
      <c r="F14" s="18">
        <v>90</v>
      </c>
      <c r="G14" s="18">
        <v>1</v>
      </c>
      <c r="H14" s="63">
        <f>Table2417[STOK]-Table2417[TERJUAL]</f>
        <v>89</v>
      </c>
      <c r="I14" s="21">
        <f>(Table2417[HRGA JUAL]*Table2417[TERJUAL])-(Table2417[HARGA POKOK]*Table2417[TERJUAL])</f>
        <v>32000</v>
      </c>
      <c r="J14" s="21">
        <f>(Table2417[HRGA JUAL]*Table2417[TERJUAL])</f>
        <v>165000</v>
      </c>
      <c r="K14" s="21">
        <f>Table2417[HRGA JUAL]*Table2417[SISA]</f>
        <v>14685000</v>
      </c>
      <c r="L14" s="64">
        <f>Table2417[HARGA POKOK]*Table2417[STOK]</f>
        <v>11970000</v>
      </c>
      <c r="M14" s="64">
        <f>Table2417[HRGA JUAL]*Table2417[STOK]</f>
        <v>14850000</v>
      </c>
    </row>
    <row r="15" spans="1:14" x14ac:dyDescent="0.25">
      <c r="A15" s="18">
        <v>11</v>
      </c>
      <c r="B15" s="278" t="s">
        <v>28</v>
      </c>
      <c r="C15" s="19" t="s">
        <v>39</v>
      </c>
      <c r="D15" s="21">
        <v>29500</v>
      </c>
      <c r="E15" s="21">
        <v>40000</v>
      </c>
      <c r="F15" s="18">
        <v>31</v>
      </c>
      <c r="G15" s="18">
        <v>6</v>
      </c>
      <c r="H15" s="63">
        <f>Table2417[STOK]-Table2417[TERJUAL]</f>
        <v>25</v>
      </c>
      <c r="I15" s="21">
        <f>(Table2417[HRGA JUAL]*Table2417[TERJUAL])-(Table2417[HARGA POKOK]*Table2417[TERJUAL])</f>
        <v>63000</v>
      </c>
      <c r="J15" s="21">
        <f>(Table2417[HRGA JUAL]*Table2417[TERJUAL])</f>
        <v>240000</v>
      </c>
      <c r="K15" s="21">
        <f>Table2417[HRGA JUAL]*Table2417[SISA]</f>
        <v>1000000</v>
      </c>
      <c r="L15" s="64">
        <f>Table2417[HARGA POKOK]*Table2417[STOK]</f>
        <v>914500</v>
      </c>
      <c r="M15" s="64">
        <f>Table2417[HRGA JUAL]*Table2417[STOK]</f>
        <v>1240000</v>
      </c>
    </row>
    <row r="16" spans="1:14" x14ac:dyDescent="0.25">
      <c r="A16" s="22">
        <v>12</v>
      </c>
      <c r="B16" s="278" t="s">
        <v>28</v>
      </c>
      <c r="C16" s="19" t="s">
        <v>47</v>
      </c>
      <c r="D16" s="21">
        <v>66000</v>
      </c>
      <c r="E16" s="21">
        <v>85000</v>
      </c>
      <c r="F16" s="18">
        <v>70</v>
      </c>
      <c r="H16" s="63">
        <f>Table2417[STOK]-Table2417[TERJUAL]</f>
        <v>70</v>
      </c>
      <c r="I16" s="21">
        <f>(Table2417[HRGA JUAL]*Table2417[TERJUAL])-(Table2417[HARGA POKOK]*Table2417[TERJUAL])</f>
        <v>0</v>
      </c>
      <c r="J16" s="21">
        <f>(Table2417[HRGA JUAL]*Table2417[TERJUAL])</f>
        <v>0</v>
      </c>
      <c r="K16" s="21">
        <f>Table2417[HRGA JUAL]*Table2417[SISA]</f>
        <v>5950000</v>
      </c>
      <c r="L16" s="64">
        <f>Table2417[HARGA POKOK]*Table2417[STOK]</f>
        <v>4620000</v>
      </c>
      <c r="M16" s="64">
        <f>Table2417[HRGA JUAL]*Table2417[STOK]</f>
        <v>5950000</v>
      </c>
    </row>
    <row r="17" spans="1:13" x14ac:dyDescent="0.25">
      <c r="A17" s="18">
        <v>13</v>
      </c>
      <c r="B17" s="278" t="s">
        <v>28</v>
      </c>
      <c r="C17" s="19" t="s">
        <v>48</v>
      </c>
      <c r="D17" s="21">
        <v>22500</v>
      </c>
      <c r="E17" s="21">
        <v>33000</v>
      </c>
      <c r="F17" s="18">
        <v>400</v>
      </c>
      <c r="H17" s="63">
        <f>Table2417[STOK]-Table2417[TERJUAL]</f>
        <v>400</v>
      </c>
      <c r="I17" s="21">
        <f>(Table2417[HRGA JUAL]*Table2417[TERJUAL])-(Table2417[HARGA POKOK]*Table2417[TERJUAL])</f>
        <v>0</v>
      </c>
      <c r="J17" s="21">
        <f>(Table2417[HRGA JUAL]*Table2417[TERJUAL])</f>
        <v>0</v>
      </c>
      <c r="K17" s="21">
        <f>Table2417[HRGA JUAL]*Table2417[SISA]</f>
        <v>13200000</v>
      </c>
      <c r="L17" s="64">
        <f>Table2417[HARGA POKOK]*Table2417[STOK]</f>
        <v>9000000</v>
      </c>
      <c r="M17" s="64">
        <f>Table2417[HRGA JUAL]*Table2417[STOK]</f>
        <v>13200000</v>
      </c>
    </row>
    <row r="18" spans="1:13" x14ac:dyDescent="0.25">
      <c r="A18" s="22">
        <v>14</v>
      </c>
      <c r="B18" s="278" t="s">
        <v>28</v>
      </c>
      <c r="C18" s="19" t="s">
        <v>49</v>
      </c>
      <c r="D18" s="21">
        <v>56000</v>
      </c>
      <c r="E18" s="21">
        <v>80000</v>
      </c>
      <c r="F18" s="18">
        <v>93</v>
      </c>
      <c r="G18" s="18">
        <v>1</v>
      </c>
      <c r="H18" s="63">
        <f>Table2417[STOK]-Table2417[TERJUAL]</f>
        <v>92</v>
      </c>
      <c r="I18" s="21">
        <f>(Table2417[HRGA JUAL]*Table2417[TERJUAL])-(Table2417[HARGA POKOK]*Table2417[TERJUAL])</f>
        <v>24000</v>
      </c>
      <c r="J18" s="21">
        <f>(Table2417[HRGA JUAL]*Table2417[TERJUAL])</f>
        <v>80000</v>
      </c>
      <c r="K18" s="21">
        <f>Table2417[HRGA JUAL]*Table2417[SISA]</f>
        <v>7360000</v>
      </c>
      <c r="L18" s="64">
        <f>Table2417[HARGA POKOK]*Table2417[STOK]</f>
        <v>5208000</v>
      </c>
      <c r="M18" s="64">
        <f>Table2417[HRGA JUAL]*Table2417[STOK]</f>
        <v>7440000</v>
      </c>
    </row>
    <row r="19" spans="1:13" x14ac:dyDescent="0.25">
      <c r="A19" s="18">
        <v>15</v>
      </c>
      <c r="B19" s="278" t="s">
        <v>28</v>
      </c>
      <c r="C19" s="19" t="s">
        <v>50</v>
      </c>
      <c r="D19" s="21">
        <v>40000</v>
      </c>
      <c r="E19" s="21">
        <v>60000</v>
      </c>
      <c r="F19" s="18">
        <v>35</v>
      </c>
      <c r="G19" s="18">
        <v>1</v>
      </c>
      <c r="H19" s="63">
        <f>Table2417[STOK]-Table2417[TERJUAL]</f>
        <v>34</v>
      </c>
      <c r="I19" s="21">
        <f>(Table2417[HRGA JUAL]*Table2417[TERJUAL])-(Table2417[HARGA POKOK]*Table2417[TERJUAL])</f>
        <v>20000</v>
      </c>
      <c r="J19" s="21">
        <f>(Table2417[HRGA JUAL]*Table2417[TERJUAL])</f>
        <v>60000</v>
      </c>
      <c r="K19" s="21">
        <f>Table2417[HRGA JUAL]*Table2417[SISA]</f>
        <v>2040000</v>
      </c>
      <c r="L19" s="64">
        <f>Table2417[HARGA POKOK]*Table2417[STOK]</f>
        <v>1400000</v>
      </c>
      <c r="M19" s="64">
        <f>Table2417[HRGA JUAL]*Table2417[STOK]</f>
        <v>2100000</v>
      </c>
    </row>
    <row r="20" spans="1:13" x14ac:dyDescent="0.25">
      <c r="A20" s="22">
        <v>16</v>
      </c>
      <c r="B20" s="278" t="s">
        <v>28</v>
      </c>
      <c r="C20" s="19" t="s">
        <v>51</v>
      </c>
      <c r="D20" s="21">
        <v>60000</v>
      </c>
      <c r="E20" s="21">
        <v>85000</v>
      </c>
      <c r="F20" s="18">
        <v>80</v>
      </c>
      <c r="H20" s="63">
        <f>Table2417[STOK]-Table2417[TERJUAL]</f>
        <v>80</v>
      </c>
      <c r="I20" s="21">
        <f>(Table2417[HRGA JUAL]*Table2417[TERJUAL])-(Table2417[HARGA POKOK]*Table2417[TERJUAL])</f>
        <v>0</v>
      </c>
      <c r="J20" s="21">
        <f>(Table2417[HRGA JUAL]*Table2417[TERJUAL])</f>
        <v>0</v>
      </c>
      <c r="K20" s="21">
        <f>Table2417[HRGA JUAL]*Table2417[SISA]</f>
        <v>6800000</v>
      </c>
      <c r="L20" s="64">
        <f>Table2417[HARGA POKOK]*Table2417[STOK]</f>
        <v>4800000</v>
      </c>
      <c r="M20" s="64">
        <f>Table2417[HRGA JUAL]*Table2417[STOK]</f>
        <v>6800000</v>
      </c>
    </row>
    <row r="21" spans="1:13" x14ac:dyDescent="0.25">
      <c r="A21" s="18">
        <v>17</v>
      </c>
      <c r="B21" s="278" t="s">
        <v>28</v>
      </c>
      <c r="C21" s="19" t="s">
        <v>52</v>
      </c>
      <c r="D21" s="21">
        <v>30000</v>
      </c>
      <c r="E21" s="21">
        <v>45000</v>
      </c>
      <c r="F21" s="18">
        <v>100</v>
      </c>
      <c r="H21" s="63">
        <f>Table2417[STOK]-Table2417[TERJUAL]</f>
        <v>100</v>
      </c>
      <c r="I21" s="21">
        <f>(Table2417[HRGA JUAL]*Table2417[TERJUAL])-(Table2417[HARGA POKOK]*Table2417[TERJUAL])</f>
        <v>0</v>
      </c>
      <c r="J21" s="21">
        <f>(Table2417[HRGA JUAL]*Table2417[TERJUAL])</f>
        <v>0</v>
      </c>
      <c r="K21" s="21">
        <f>Table2417[HRGA JUAL]*Table2417[SISA]</f>
        <v>4500000</v>
      </c>
      <c r="L21" s="64">
        <f>Table2417[HARGA POKOK]*Table2417[STOK]</f>
        <v>3000000</v>
      </c>
      <c r="M21" s="64">
        <f>Table2417[HRGA JUAL]*Table2417[STOK]</f>
        <v>4500000</v>
      </c>
    </row>
    <row r="22" spans="1:13" x14ac:dyDescent="0.25">
      <c r="A22" s="22">
        <v>18</v>
      </c>
      <c r="B22" s="278" t="s">
        <v>28</v>
      </c>
      <c r="C22" s="19" t="s">
        <v>53</v>
      </c>
      <c r="D22" s="21">
        <v>2500</v>
      </c>
      <c r="E22" s="21">
        <v>5000</v>
      </c>
      <c r="F22" s="18">
        <v>20</v>
      </c>
      <c r="H22" s="63">
        <f>Table2417[STOK]-Table2417[TERJUAL]</f>
        <v>20</v>
      </c>
      <c r="I22" s="21">
        <f>(Table2417[HRGA JUAL]*Table2417[TERJUAL])-(Table2417[HARGA POKOK]*Table2417[TERJUAL])</f>
        <v>0</v>
      </c>
      <c r="J22" s="21">
        <f>(Table2417[HRGA JUAL]*Table2417[TERJUAL])</f>
        <v>0</v>
      </c>
      <c r="K22" s="21">
        <f>Table2417[HRGA JUAL]*Table2417[SISA]</f>
        <v>100000</v>
      </c>
      <c r="L22" s="64">
        <f>Table2417[HARGA POKOK]*Table2417[STOK]</f>
        <v>50000</v>
      </c>
      <c r="M22" s="64">
        <f>Table2417[HRGA JUAL]*Table2417[STOK]</f>
        <v>100000</v>
      </c>
    </row>
    <row r="23" spans="1:13" x14ac:dyDescent="0.25">
      <c r="A23" s="18">
        <v>19</v>
      </c>
      <c r="B23" s="19" t="s">
        <v>29</v>
      </c>
      <c r="C23" s="19" t="s">
        <v>54</v>
      </c>
      <c r="D23" s="21">
        <v>47500</v>
      </c>
      <c r="E23" s="21">
        <v>60000</v>
      </c>
      <c r="F23" s="18">
        <v>100</v>
      </c>
      <c r="H23" s="63">
        <f>Table2417[STOK]-Table2417[TERJUAL]</f>
        <v>100</v>
      </c>
      <c r="I23" s="21">
        <f>(Table2417[HRGA JUAL]*Table2417[TERJUAL])-(Table2417[HARGA POKOK]*Table2417[TERJUAL])</f>
        <v>0</v>
      </c>
      <c r="J23" s="21">
        <f>(Table2417[HRGA JUAL]*Table2417[TERJUAL])</f>
        <v>0</v>
      </c>
      <c r="K23" s="21">
        <f>Table2417[HRGA JUAL]*Table2417[SISA]</f>
        <v>6000000</v>
      </c>
      <c r="L23" s="64">
        <f>Table2417[HARGA POKOK]*Table2417[STOK]</f>
        <v>4750000</v>
      </c>
      <c r="M23" s="64">
        <f>Table2417[HRGA JUAL]*Table2417[STOK]</f>
        <v>6000000</v>
      </c>
    </row>
    <row r="24" spans="1:13" x14ac:dyDescent="0.25">
      <c r="A24" s="22">
        <v>20</v>
      </c>
      <c r="B24" s="19" t="s">
        <v>29</v>
      </c>
      <c r="C24" s="19" t="s">
        <v>55</v>
      </c>
      <c r="D24" s="21">
        <v>133500</v>
      </c>
      <c r="E24" s="21">
        <v>143000</v>
      </c>
      <c r="F24" s="18">
        <v>20</v>
      </c>
      <c r="H24" s="63">
        <f>Table2417[STOK]-Table2417[TERJUAL]</f>
        <v>20</v>
      </c>
      <c r="I24" s="21">
        <f>(Table2417[HRGA JUAL]*Table2417[TERJUAL])-(Table2417[HARGA POKOK]*Table2417[TERJUAL])</f>
        <v>0</v>
      </c>
      <c r="J24" s="21">
        <f>(Table2417[HRGA JUAL]*Table2417[TERJUAL])</f>
        <v>0</v>
      </c>
      <c r="K24" s="21">
        <f>Table2417[HRGA JUAL]*Table2417[SISA]</f>
        <v>2860000</v>
      </c>
      <c r="L24" s="64">
        <f>Table2417[HARGA POKOK]*Table2417[STOK]</f>
        <v>2670000</v>
      </c>
      <c r="M24" s="64">
        <f>Table2417[HRGA JUAL]*Table2417[STOK]</f>
        <v>2860000</v>
      </c>
    </row>
    <row r="25" spans="1:13" x14ac:dyDescent="0.25">
      <c r="A25" s="18">
        <v>21</v>
      </c>
      <c r="B25" s="19" t="s">
        <v>29</v>
      </c>
      <c r="C25" s="278" t="s">
        <v>56</v>
      </c>
      <c r="D25" s="24">
        <v>77500</v>
      </c>
      <c r="E25" s="24">
        <v>120000</v>
      </c>
      <c r="F25" s="22">
        <v>50</v>
      </c>
      <c r="G25" s="22">
        <v>1</v>
      </c>
      <c r="H25" s="65">
        <f>Table2417[STOK]-Table2417[TERJUAL]</f>
        <v>49</v>
      </c>
      <c r="I25" s="21">
        <f>(Table2417[HRGA JUAL]*Table2417[TERJUAL])-(Table2417[HARGA POKOK]*Table2417[TERJUAL])</f>
        <v>42500</v>
      </c>
      <c r="J25" s="24">
        <f>(Table2417[HRGA JUAL]*Table2417[TERJUAL])</f>
        <v>120000</v>
      </c>
      <c r="K25" s="24">
        <f>Table2417[HRGA JUAL]*Table2417[SISA]</f>
        <v>5880000</v>
      </c>
      <c r="L25" s="64">
        <f>Table2417[HARGA POKOK]*Table2417[STOK]</f>
        <v>3875000</v>
      </c>
      <c r="M25" s="64">
        <f>Table2417[HRGA JUAL]*Table2417[STOK]</f>
        <v>6000000</v>
      </c>
    </row>
    <row r="26" spans="1:13" x14ac:dyDescent="0.25">
      <c r="A26" s="22">
        <v>22</v>
      </c>
      <c r="B26" s="19" t="s">
        <v>29</v>
      </c>
      <c r="C26" s="19" t="s">
        <v>57</v>
      </c>
      <c r="D26" s="21">
        <v>165000</v>
      </c>
      <c r="E26" s="21">
        <v>210000</v>
      </c>
      <c r="F26" s="18">
        <v>40</v>
      </c>
      <c r="H26" s="63">
        <f>Table2417[STOK]-Table2417[TERJUAL]</f>
        <v>40</v>
      </c>
      <c r="I26" s="21">
        <f>(Table2417[HRGA JUAL]*Table2417[TERJUAL])-(Table2417[HARGA POKOK]*Table2417[TERJUAL])</f>
        <v>0</v>
      </c>
      <c r="J26" s="21">
        <f>(Table2417[HRGA JUAL]*Table2417[TERJUAL])</f>
        <v>0</v>
      </c>
      <c r="K26" s="21">
        <f>Table2417[HRGA JUAL]*Table2417[SISA]</f>
        <v>8400000</v>
      </c>
      <c r="L26" s="64">
        <f>Table2417[HARGA POKOK]*Table2417[STOK]</f>
        <v>6600000</v>
      </c>
      <c r="M26" s="64">
        <f>Table2417[HRGA JUAL]*Table2417[STOK]</f>
        <v>8400000</v>
      </c>
    </row>
    <row r="27" spans="1:13" x14ac:dyDescent="0.25">
      <c r="A27" s="18">
        <v>23</v>
      </c>
      <c r="B27" s="19" t="s">
        <v>30</v>
      </c>
      <c r="C27" s="19" t="s">
        <v>58</v>
      </c>
      <c r="D27" s="21">
        <v>10000</v>
      </c>
      <c r="E27" s="21">
        <v>18000</v>
      </c>
      <c r="F27" s="18">
        <v>90</v>
      </c>
      <c r="H27" s="63">
        <f>Table2417[STOK]-Table2417[TERJUAL]</f>
        <v>90</v>
      </c>
      <c r="I27" s="21">
        <f>(Table2417[HRGA JUAL]*Table2417[TERJUAL])-(Table2417[HARGA POKOK]*Table2417[TERJUAL])</f>
        <v>0</v>
      </c>
      <c r="J27" s="21">
        <f>(Table2417[HRGA JUAL]*Table2417[TERJUAL])</f>
        <v>0</v>
      </c>
      <c r="K27" s="21">
        <f>Table2417[HRGA JUAL]*Table2417[SISA]</f>
        <v>1620000</v>
      </c>
      <c r="L27" s="64">
        <f>Table2417[HARGA POKOK]*Table2417[STOK]</f>
        <v>900000</v>
      </c>
      <c r="M27" s="64">
        <f>Table2417[HRGA JUAL]*Table2417[STOK]</f>
        <v>1620000</v>
      </c>
    </row>
    <row r="28" spans="1:13" x14ac:dyDescent="0.25">
      <c r="A28" s="22">
        <v>24</v>
      </c>
      <c r="B28" s="19" t="s">
        <v>30</v>
      </c>
      <c r="C28" s="19" t="s">
        <v>59</v>
      </c>
      <c r="D28" s="21">
        <v>27500</v>
      </c>
      <c r="E28" s="21">
        <v>45000</v>
      </c>
      <c r="F28" s="18">
        <v>40</v>
      </c>
      <c r="H28" s="63">
        <f>Table2417[STOK]-Table2417[TERJUAL]</f>
        <v>40</v>
      </c>
      <c r="I28" s="21">
        <f>(Table2417[HRGA JUAL]*Table2417[TERJUAL])-(Table2417[HARGA POKOK]*Table2417[TERJUAL])</f>
        <v>0</v>
      </c>
      <c r="J28" s="21">
        <f>(Table2417[HRGA JUAL]*Table2417[TERJUAL])</f>
        <v>0</v>
      </c>
      <c r="K28" s="21">
        <f>Table2417[HRGA JUAL]*Table2417[SISA]</f>
        <v>1800000</v>
      </c>
      <c r="L28" s="64">
        <f>Table2417[HARGA POKOK]*Table2417[STOK]</f>
        <v>1100000</v>
      </c>
      <c r="M28" s="64">
        <f>Table2417[HRGA JUAL]*Table2417[STOK]</f>
        <v>1800000</v>
      </c>
    </row>
    <row r="29" spans="1:13" x14ac:dyDescent="0.25">
      <c r="A29" s="18">
        <v>25</v>
      </c>
      <c r="B29" s="19" t="s">
        <v>30</v>
      </c>
      <c r="C29" s="19" t="s">
        <v>60</v>
      </c>
      <c r="D29" s="21">
        <v>12500</v>
      </c>
      <c r="E29" s="21">
        <v>16000</v>
      </c>
      <c r="F29" s="18">
        <v>72</v>
      </c>
      <c r="G29" s="18">
        <v>4</v>
      </c>
      <c r="H29" s="63">
        <f>Table2417[STOK]-Table2417[TERJUAL]</f>
        <v>68</v>
      </c>
      <c r="I29" s="21">
        <f>(Table2417[HRGA JUAL]*Table2417[TERJUAL])-(Table2417[HARGA POKOK]*Table2417[TERJUAL])</f>
        <v>14000</v>
      </c>
      <c r="J29" s="21">
        <f>(Table2417[HRGA JUAL]*Table2417[TERJUAL])</f>
        <v>64000</v>
      </c>
      <c r="K29" s="21">
        <f>Table2417[HRGA JUAL]*Table2417[SISA]</f>
        <v>1088000</v>
      </c>
      <c r="L29" s="64">
        <f>Table2417[HARGA POKOK]*Table2417[STOK]</f>
        <v>900000</v>
      </c>
      <c r="M29" s="64">
        <f>Table2417[HRGA JUAL]*Table2417[STOK]</f>
        <v>1152000</v>
      </c>
    </row>
    <row r="30" spans="1:13" x14ac:dyDescent="0.25">
      <c r="A30" s="22">
        <v>26</v>
      </c>
      <c r="B30" s="19" t="s">
        <v>30</v>
      </c>
      <c r="C30" s="19" t="s">
        <v>13</v>
      </c>
      <c r="D30" s="21">
        <v>33500</v>
      </c>
      <c r="E30" s="21">
        <v>50000</v>
      </c>
      <c r="F30" s="18">
        <v>48</v>
      </c>
      <c r="H30" s="63">
        <f>Table2417[STOK]-Table2417[TERJUAL]</f>
        <v>48</v>
      </c>
      <c r="I30" s="21">
        <f>(Table2417[HRGA JUAL]*Table2417[TERJUAL])-(Table2417[HARGA POKOK]*Table2417[TERJUAL])</f>
        <v>0</v>
      </c>
      <c r="J30" s="21">
        <f>(Table2417[HRGA JUAL]*Table2417[TERJUAL])</f>
        <v>0</v>
      </c>
      <c r="K30" s="21">
        <f>Table2417[HRGA JUAL]*Table2417[SISA]</f>
        <v>2400000</v>
      </c>
      <c r="L30" s="64">
        <f>Table2417[HARGA POKOK]*Table2417[STOK]</f>
        <v>1608000</v>
      </c>
      <c r="M30" s="64">
        <f>Table2417[HRGA JUAL]*Table2417[STOK]</f>
        <v>2400000</v>
      </c>
    </row>
    <row r="31" spans="1:13" x14ac:dyDescent="0.25">
      <c r="A31" s="18">
        <v>27</v>
      </c>
      <c r="B31" s="19" t="s">
        <v>30</v>
      </c>
      <c r="C31" s="19" t="s">
        <v>14</v>
      </c>
      <c r="D31" s="21">
        <v>8500</v>
      </c>
      <c r="E31" s="21">
        <v>12000</v>
      </c>
      <c r="F31" s="18">
        <v>288</v>
      </c>
      <c r="H31" s="63">
        <f>Table2417[STOK]-Table2417[TERJUAL]</f>
        <v>288</v>
      </c>
      <c r="I31" s="21">
        <f>(Table2417[HRGA JUAL]*Table2417[TERJUAL])-(Table2417[HARGA POKOK]*Table2417[TERJUAL])</f>
        <v>0</v>
      </c>
      <c r="J31" s="21">
        <f>(Table2417[HRGA JUAL]*Table2417[TERJUAL])</f>
        <v>0</v>
      </c>
      <c r="K31" s="21">
        <f>Table2417[HRGA JUAL]*Table2417[SISA]</f>
        <v>3456000</v>
      </c>
      <c r="L31" s="64">
        <f>Table2417[HARGA POKOK]*Table2417[STOK]</f>
        <v>2448000</v>
      </c>
      <c r="M31" s="64">
        <f>Table2417[HRGA JUAL]*Table2417[STOK]</f>
        <v>3456000</v>
      </c>
    </row>
    <row r="32" spans="1:13" x14ac:dyDescent="0.25">
      <c r="A32" s="22">
        <v>28</v>
      </c>
      <c r="B32" s="19" t="s">
        <v>30</v>
      </c>
      <c r="C32" s="19" t="s">
        <v>15</v>
      </c>
      <c r="D32" s="21">
        <v>30500</v>
      </c>
      <c r="E32" s="21">
        <v>45000</v>
      </c>
      <c r="F32" s="18">
        <v>48</v>
      </c>
      <c r="H32" s="63">
        <f>Table2417[STOK]-Table2417[TERJUAL]</f>
        <v>48</v>
      </c>
      <c r="I32" s="21">
        <f>(Table2417[HRGA JUAL]*Table2417[TERJUAL])-(Table2417[HARGA POKOK]*Table2417[TERJUAL])</f>
        <v>0</v>
      </c>
      <c r="J32" s="21">
        <f>(Table2417[HRGA JUAL]*Table2417[TERJUAL])</f>
        <v>0</v>
      </c>
      <c r="K32" s="21">
        <f>Table2417[HRGA JUAL]*Table2417[SISA]</f>
        <v>2160000</v>
      </c>
      <c r="L32" s="64">
        <f>Table2417[HARGA POKOK]*Table2417[STOK]</f>
        <v>1464000</v>
      </c>
      <c r="M32" s="64">
        <f>Table2417[HRGA JUAL]*Table2417[STOK]</f>
        <v>2160000</v>
      </c>
    </row>
    <row r="33" spans="1:13" x14ac:dyDescent="0.25">
      <c r="A33" s="18">
        <v>29</v>
      </c>
      <c r="B33" s="19" t="s">
        <v>30</v>
      </c>
      <c r="C33" s="19" t="s">
        <v>16</v>
      </c>
      <c r="D33" s="21">
        <v>7500</v>
      </c>
      <c r="E33" s="21">
        <v>10000</v>
      </c>
      <c r="F33" s="18">
        <v>288</v>
      </c>
      <c r="H33" s="63">
        <f>Table2417[STOK]-Table2417[TERJUAL]</f>
        <v>288</v>
      </c>
      <c r="I33" s="21">
        <f>(Table2417[HRGA JUAL]*Table2417[TERJUAL])-(Table2417[HARGA POKOK]*Table2417[TERJUAL])</f>
        <v>0</v>
      </c>
      <c r="J33" s="21">
        <f>(Table2417[HRGA JUAL]*Table2417[TERJUAL])</f>
        <v>0</v>
      </c>
      <c r="K33" s="21">
        <f>Table2417[HRGA JUAL]*Table2417[SISA]</f>
        <v>2880000</v>
      </c>
      <c r="L33" s="64">
        <f>Table2417[HARGA POKOK]*Table2417[STOK]</f>
        <v>2160000</v>
      </c>
      <c r="M33" s="64">
        <f>Table2417[HRGA JUAL]*Table2417[STOK]</f>
        <v>2880000</v>
      </c>
    </row>
    <row r="34" spans="1:13" x14ac:dyDescent="0.25">
      <c r="A34" s="22">
        <v>30</v>
      </c>
      <c r="B34" s="19" t="s">
        <v>35</v>
      </c>
      <c r="C34" s="19" t="s">
        <v>36</v>
      </c>
      <c r="D34" s="21">
        <v>51500</v>
      </c>
      <c r="E34" s="21">
        <v>65000</v>
      </c>
      <c r="F34" s="18">
        <v>20</v>
      </c>
      <c r="G34" s="18">
        <v>1</v>
      </c>
      <c r="H34" s="63">
        <f>Table2417[STOK]-Table2417[TERJUAL]</f>
        <v>19</v>
      </c>
      <c r="I34" s="21">
        <f>(Table2417[HRGA JUAL]*Table2417[TERJUAL])-(Table2417[HARGA POKOK]*Table2417[TERJUAL])</f>
        <v>13500</v>
      </c>
      <c r="J34" s="21">
        <f>(Table2417[HRGA JUAL]*Table2417[TERJUAL])</f>
        <v>65000</v>
      </c>
      <c r="K34" s="21">
        <f>Table2417[HRGA JUAL]*Table2417[SISA]</f>
        <v>1235000</v>
      </c>
      <c r="L34" s="64">
        <f>Table2417[HARGA POKOK]*Table2417[STOK]</f>
        <v>1030000</v>
      </c>
      <c r="M34" s="64">
        <f>Table2417[HRGA JUAL]*Table2417[STOK]</f>
        <v>1300000</v>
      </c>
    </row>
    <row r="35" spans="1:13" x14ac:dyDescent="0.25">
      <c r="A35" s="18">
        <v>31</v>
      </c>
      <c r="B35" s="19" t="s">
        <v>31</v>
      </c>
      <c r="C35" s="19" t="s">
        <v>61</v>
      </c>
      <c r="D35" s="21">
        <v>20000</v>
      </c>
      <c r="E35" s="21">
        <v>30000</v>
      </c>
      <c r="F35" s="18">
        <v>60</v>
      </c>
      <c r="H35" s="63">
        <f>Table2417[STOK]-Table2417[TERJUAL]</f>
        <v>60</v>
      </c>
      <c r="I35" s="21">
        <f>(Table2417[HRGA JUAL]*Table2417[TERJUAL])-(Table2417[HARGA POKOK]*Table2417[TERJUAL])</f>
        <v>0</v>
      </c>
      <c r="J35" s="21">
        <f>(Table2417[HRGA JUAL]*Table2417[TERJUAL])</f>
        <v>0</v>
      </c>
      <c r="K35" s="21">
        <f>Table2417[HRGA JUAL]*Table2417[SISA]</f>
        <v>1800000</v>
      </c>
      <c r="L35" s="64">
        <f>Table2417[HARGA POKOK]*Table2417[STOK]</f>
        <v>1200000</v>
      </c>
      <c r="M35" s="64">
        <f>Table2417[HRGA JUAL]*Table2417[STOK]</f>
        <v>1800000</v>
      </c>
    </row>
    <row r="36" spans="1:13" x14ac:dyDescent="0.25">
      <c r="A36" s="22">
        <v>32</v>
      </c>
      <c r="B36" s="19" t="s">
        <v>31</v>
      </c>
      <c r="C36" s="19" t="s">
        <v>62</v>
      </c>
      <c r="D36" s="21">
        <v>35000</v>
      </c>
      <c r="E36" s="21">
        <v>40000</v>
      </c>
      <c r="F36" s="18">
        <v>6</v>
      </c>
      <c r="H36" s="63">
        <f>Table2417[STOK]-Table2417[TERJUAL]</f>
        <v>6</v>
      </c>
      <c r="I36" s="21">
        <f>(Table2417[HRGA JUAL]*Table2417[TERJUAL])-(Table2417[HARGA POKOK]*Table2417[TERJUAL])</f>
        <v>0</v>
      </c>
      <c r="J36" s="21">
        <f>(Table2417[HRGA JUAL]*Table2417[TERJUAL])</f>
        <v>0</v>
      </c>
      <c r="K36" s="21">
        <f>Table2417[HRGA JUAL]*Table2417[SISA]</f>
        <v>240000</v>
      </c>
      <c r="L36" s="64">
        <f>Table2417[HARGA POKOK]*Table2417[STOK]</f>
        <v>210000</v>
      </c>
      <c r="M36" s="64">
        <f>Table2417[HRGA JUAL]*Table2417[STOK]</f>
        <v>240000</v>
      </c>
    </row>
    <row r="37" spans="1:13" x14ac:dyDescent="0.25">
      <c r="A37" s="18">
        <v>33</v>
      </c>
      <c r="B37" s="19" t="s">
        <v>31</v>
      </c>
      <c r="C37" s="19" t="s">
        <v>63</v>
      </c>
      <c r="D37" s="21">
        <v>35000</v>
      </c>
      <c r="E37" s="21">
        <v>40000</v>
      </c>
      <c r="F37" s="18">
        <v>3</v>
      </c>
      <c r="G37" s="18">
        <v>2</v>
      </c>
      <c r="H37" s="63">
        <f>Table2417[STOK]-Table2417[TERJUAL]</f>
        <v>1</v>
      </c>
      <c r="I37" s="21">
        <f>(Table2417[HRGA JUAL]*Table2417[TERJUAL])-(Table2417[HARGA POKOK]*Table2417[TERJUAL])</f>
        <v>10000</v>
      </c>
      <c r="J37" s="21">
        <f>(Table2417[HRGA JUAL]*Table2417[TERJUAL])</f>
        <v>80000</v>
      </c>
      <c r="K37" s="21">
        <f>Table2417[HRGA JUAL]*Table2417[SISA]</f>
        <v>40000</v>
      </c>
      <c r="L37" s="64">
        <f>Table2417[HARGA POKOK]*Table2417[STOK]</f>
        <v>105000</v>
      </c>
      <c r="M37" s="64">
        <f>Table2417[HRGA JUAL]*Table2417[STOK]</f>
        <v>120000</v>
      </c>
    </row>
    <row r="38" spans="1:13" x14ac:dyDescent="0.25">
      <c r="A38" s="22">
        <v>34</v>
      </c>
      <c r="B38" s="19" t="s">
        <v>31</v>
      </c>
      <c r="C38" s="19" t="s">
        <v>17</v>
      </c>
      <c r="D38" s="21">
        <v>35000</v>
      </c>
      <c r="E38" s="21">
        <v>40000</v>
      </c>
      <c r="F38" s="18">
        <v>2</v>
      </c>
      <c r="G38" s="18">
        <v>2</v>
      </c>
      <c r="H38" s="63">
        <f>Table2417[STOK]-Table2417[TERJUAL]</f>
        <v>0</v>
      </c>
      <c r="I38" s="21">
        <f>(Table2417[HRGA JUAL]*Table2417[TERJUAL])-(Table2417[HARGA POKOK]*Table2417[TERJUAL])</f>
        <v>10000</v>
      </c>
      <c r="J38" s="21">
        <f>(Table2417[HRGA JUAL]*Table2417[TERJUAL])</f>
        <v>80000</v>
      </c>
      <c r="K38" s="21">
        <f>Table2417[HRGA JUAL]*Table2417[SISA]</f>
        <v>0</v>
      </c>
      <c r="L38" s="64">
        <f>Table2417[HARGA POKOK]*Table2417[STOK]</f>
        <v>70000</v>
      </c>
      <c r="M38" s="64">
        <f>Table2417[HRGA JUAL]*Table2417[STOK]</f>
        <v>80000</v>
      </c>
    </row>
    <row r="39" spans="1:13" x14ac:dyDescent="0.25">
      <c r="A39" s="18">
        <v>35</v>
      </c>
      <c r="B39" s="19" t="s">
        <v>31</v>
      </c>
      <c r="C39" s="19" t="s">
        <v>64</v>
      </c>
      <c r="D39" s="21">
        <v>35000</v>
      </c>
      <c r="E39" s="21">
        <v>40000</v>
      </c>
      <c r="F39" s="18">
        <v>8</v>
      </c>
      <c r="H39" s="63">
        <f>Table2417[STOK]-Table2417[TERJUAL]</f>
        <v>8</v>
      </c>
      <c r="I39" s="21">
        <f>(Table2417[HRGA JUAL]*Table2417[TERJUAL])-(Table2417[HARGA POKOK]*Table2417[TERJUAL])</f>
        <v>0</v>
      </c>
      <c r="J39" s="21">
        <f>(Table2417[HRGA JUAL]*Table2417[TERJUAL])</f>
        <v>0</v>
      </c>
      <c r="K39" s="21">
        <f>Table2417[HRGA JUAL]*Table2417[SISA]</f>
        <v>320000</v>
      </c>
      <c r="L39" s="64">
        <f>Table2417[HARGA POKOK]*Table2417[STOK]</f>
        <v>280000</v>
      </c>
      <c r="M39" s="64">
        <f>Table2417[HRGA JUAL]*Table2417[STOK]</f>
        <v>320000</v>
      </c>
    </row>
    <row r="40" spans="1:13" x14ac:dyDescent="0.25">
      <c r="A40" s="22">
        <v>36</v>
      </c>
      <c r="B40" s="19" t="s">
        <v>31</v>
      </c>
      <c r="C40" s="19" t="s">
        <v>65</v>
      </c>
      <c r="D40" s="21">
        <v>35000</v>
      </c>
      <c r="E40" s="21">
        <v>40000</v>
      </c>
      <c r="F40" s="18">
        <v>9</v>
      </c>
      <c r="H40" s="63">
        <v>7</v>
      </c>
      <c r="I40" s="21">
        <f>(Table2417[HRGA JUAL]*Table2417[TERJUAL])-(Table2417[HARGA POKOK]*Table2417[TERJUAL])</f>
        <v>0</v>
      </c>
      <c r="J40" s="21">
        <f>(Table2417[HRGA JUAL]*Table2417[TERJUAL])</f>
        <v>0</v>
      </c>
      <c r="K40" s="21">
        <f>Table2417[HRGA JUAL]*Table2417[SISA]</f>
        <v>280000</v>
      </c>
      <c r="L40" s="64">
        <f>Table2417[HARGA POKOK]*Table2417[STOK]</f>
        <v>315000</v>
      </c>
      <c r="M40" s="64">
        <f>Table2417[HRGA JUAL]*Table2417[STOK]</f>
        <v>360000</v>
      </c>
    </row>
    <row r="41" spans="1:13" x14ac:dyDescent="0.25">
      <c r="A41" s="18">
        <v>37</v>
      </c>
      <c r="B41" s="19" t="s">
        <v>31</v>
      </c>
      <c r="C41" s="278" t="s">
        <v>66</v>
      </c>
      <c r="D41" s="24">
        <v>35000</v>
      </c>
      <c r="E41" s="24">
        <v>40000</v>
      </c>
      <c r="F41" s="22">
        <v>10</v>
      </c>
      <c r="G41" s="22">
        <v>1</v>
      </c>
      <c r="H41" s="65">
        <f>Table2417[STOK]-Table2417[TERJUAL]</f>
        <v>9</v>
      </c>
      <c r="I41" s="21">
        <f>(Table2417[HRGA JUAL]*Table2417[TERJUAL])-(Table2417[HARGA POKOK]*Table2417[TERJUAL])</f>
        <v>5000</v>
      </c>
      <c r="J41" s="24">
        <f>(Table2417[HRGA JUAL]*Table2417[TERJUAL])</f>
        <v>40000</v>
      </c>
      <c r="K41" s="24">
        <f>Table2417[HRGA JUAL]*Table2417[SISA]</f>
        <v>360000</v>
      </c>
      <c r="L41" s="64">
        <f>Table2417[HARGA POKOK]*Table2417[STOK]</f>
        <v>350000</v>
      </c>
      <c r="M41" s="64">
        <f>Table2417[HRGA JUAL]*Table2417[STOK]</f>
        <v>400000</v>
      </c>
    </row>
    <row r="42" spans="1:13" x14ac:dyDescent="0.25">
      <c r="A42" s="22">
        <v>38</v>
      </c>
      <c r="B42" s="19" t="s">
        <v>31</v>
      </c>
      <c r="C42" s="19" t="s">
        <v>67</v>
      </c>
      <c r="D42" s="21">
        <v>27500</v>
      </c>
      <c r="E42" s="21">
        <v>45000</v>
      </c>
      <c r="F42" s="18">
        <v>87</v>
      </c>
      <c r="H42" s="63">
        <f>Table2417[STOK]-Table2417[TERJUAL]</f>
        <v>87</v>
      </c>
      <c r="I42" s="21">
        <f>(Table2417[HRGA JUAL]*Table2417[TERJUAL])-(Table2417[HARGA POKOK]*Table2417[TERJUAL])</f>
        <v>0</v>
      </c>
      <c r="J42" s="21">
        <f>(Table2417[HRGA JUAL]*Table2417[TERJUAL])</f>
        <v>0</v>
      </c>
      <c r="K42" s="21">
        <f>Table2417[HRGA JUAL]*Table2417[SISA]</f>
        <v>3915000</v>
      </c>
      <c r="L42" s="64">
        <f>Table2417[HARGA POKOK]*Table2417[STOK]</f>
        <v>2392500</v>
      </c>
      <c r="M42" s="64">
        <f>Table2417[HRGA JUAL]*Table2417[STOK]</f>
        <v>3915000</v>
      </c>
    </row>
    <row r="43" spans="1:13" x14ac:dyDescent="0.25">
      <c r="A43" s="18">
        <v>39</v>
      </c>
      <c r="B43" s="19" t="s">
        <v>32</v>
      </c>
      <c r="C43" s="19" t="s">
        <v>18</v>
      </c>
      <c r="D43" s="21">
        <v>1700</v>
      </c>
      <c r="E43" s="21">
        <v>5000</v>
      </c>
      <c r="F43" s="18"/>
      <c r="H43" s="63">
        <f>Table2417[STOK]-Table2417[TERJUAL]</f>
        <v>0</v>
      </c>
      <c r="I43" s="21">
        <f>(Table2417[HRGA JUAL]*Table2417[TERJUAL])-(Table2417[HARGA POKOK]*Table2417[TERJUAL])</f>
        <v>0</v>
      </c>
      <c r="J43" s="21">
        <f>(Table2417[HRGA JUAL]*Table2417[TERJUAL])</f>
        <v>0</v>
      </c>
      <c r="K43" s="21">
        <f>Table2417[HRGA JUAL]*Table2417[SISA]</f>
        <v>0</v>
      </c>
      <c r="L43" s="64">
        <f>Table2417[HARGA POKOK]*Table2417[STOK]</f>
        <v>0</v>
      </c>
      <c r="M43" s="64">
        <f>Table2417[HRGA JUAL]*Table2417[STOK]</f>
        <v>0</v>
      </c>
    </row>
    <row r="44" spans="1:13" x14ac:dyDescent="0.25">
      <c r="A44" s="22">
        <v>40</v>
      </c>
      <c r="B44" s="19" t="s">
        <v>32</v>
      </c>
      <c r="C44" s="19" t="s">
        <v>21</v>
      </c>
      <c r="D44" s="21">
        <v>30500</v>
      </c>
      <c r="E44" s="21">
        <v>45000</v>
      </c>
      <c r="F44" s="18">
        <v>4</v>
      </c>
      <c r="G44" s="18">
        <v>2</v>
      </c>
      <c r="H44" s="63">
        <f>Table2417[STOK]-Table2417[TERJUAL]</f>
        <v>2</v>
      </c>
      <c r="I44" s="21">
        <f>(Table2417[HRGA JUAL]*Table2417[TERJUAL])-(Table2417[HARGA POKOK]*Table2417[TERJUAL])</f>
        <v>29000</v>
      </c>
      <c r="J44" s="21">
        <f>(Table2417[HRGA JUAL]*Table2417[TERJUAL])</f>
        <v>90000</v>
      </c>
      <c r="K44" s="21">
        <f>Table2417[HRGA JUAL]*Table2417[SISA]</f>
        <v>90000</v>
      </c>
      <c r="L44" s="64">
        <f>Table2417[HARGA POKOK]*Table2417[STOK]</f>
        <v>122000</v>
      </c>
      <c r="M44" s="64">
        <f>Table2417[HRGA JUAL]*Table2417[STOK]</f>
        <v>180000</v>
      </c>
    </row>
    <row r="45" spans="1:13" x14ac:dyDescent="0.25">
      <c r="A45" s="18">
        <v>41</v>
      </c>
      <c r="B45" s="19" t="s">
        <v>32</v>
      </c>
      <c r="C45" s="19" t="s">
        <v>20</v>
      </c>
      <c r="D45" s="21">
        <v>1500</v>
      </c>
      <c r="E45" s="21">
        <v>5000</v>
      </c>
      <c r="F45" s="18">
        <v>5</v>
      </c>
      <c r="G45" s="18">
        <v>4</v>
      </c>
      <c r="H45" s="63">
        <f>Table2417[STOK]-Table2417[TERJUAL]</f>
        <v>1</v>
      </c>
      <c r="I45" s="21">
        <f>(Table2417[HRGA JUAL]*Table2417[TERJUAL])-(Table2417[HARGA POKOK]*Table2417[TERJUAL])</f>
        <v>14000</v>
      </c>
      <c r="J45" s="21">
        <f>(Table2417[HRGA JUAL]*Table2417[TERJUAL])</f>
        <v>20000</v>
      </c>
      <c r="K45" s="21">
        <f>Table2417[HRGA JUAL]*Table2417[SISA]</f>
        <v>5000</v>
      </c>
      <c r="L45" s="64">
        <f>Table2417[HARGA POKOK]*Table2417[STOK]</f>
        <v>7500</v>
      </c>
      <c r="M45" s="64">
        <f>Table2417[HRGA JUAL]*Table2417[STOK]</f>
        <v>25000</v>
      </c>
    </row>
    <row r="46" spans="1:13" x14ac:dyDescent="0.25">
      <c r="A46" s="22">
        <v>42</v>
      </c>
      <c r="B46" s="19" t="s">
        <v>32</v>
      </c>
      <c r="C46" s="19" t="s">
        <v>23</v>
      </c>
      <c r="D46" s="21">
        <v>25250</v>
      </c>
      <c r="E46" s="21">
        <v>40000</v>
      </c>
      <c r="F46" s="18">
        <v>5</v>
      </c>
      <c r="H46" s="63">
        <f>Table2417[STOK]-Table2417[TERJUAL]</f>
        <v>5</v>
      </c>
      <c r="I46" s="21">
        <f>(Table2417[HRGA JUAL]*Table2417[TERJUAL])-(Table2417[HARGA POKOK]*Table2417[TERJUAL])</f>
        <v>0</v>
      </c>
      <c r="J46" s="21">
        <f>(Table2417[HRGA JUAL]*Table2417[TERJUAL])</f>
        <v>0</v>
      </c>
      <c r="K46" s="21">
        <f>Table2417[HRGA JUAL]*Table2417[SISA]</f>
        <v>200000</v>
      </c>
      <c r="L46" s="64">
        <f>Table2417[HARGA POKOK]*Table2417[STOK]</f>
        <v>126250</v>
      </c>
      <c r="M46" s="64">
        <f>Table2417[HRGA JUAL]*Table2417[STOK]</f>
        <v>200000</v>
      </c>
    </row>
    <row r="47" spans="1:13" x14ac:dyDescent="0.25">
      <c r="A47" s="18">
        <v>43</v>
      </c>
      <c r="B47" s="19" t="s">
        <v>32</v>
      </c>
      <c r="C47" s="19" t="s">
        <v>19</v>
      </c>
      <c r="D47" s="21">
        <v>1500</v>
      </c>
      <c r="E47" s="21">
        <v>5000</v>
      </c>
      <c r="F47" s="18">
        <v>1</v>
      </c>
      <c r="G47" s="18">
        <v>1</v>
      </c>
      <c r="H47" s="63">
        <f>Table2417[STOK]-Table2417[TERJUAL]</f>
        <v>0</v>
      </c>
      <c r="I47" s="21">
        <f>(Table2417[HRGA JUAL]*Table2417[TERJUAL])-(Table2417[HARGA POKOK]*Table2417[TERJUAL])</f>
        <v>3500</v>
      </c>
      <c r="J47" s="21">
        <f>(Table2417[HRGA JUAL]*Table2417[TERJUAL])</f>
        <v>5000</v>
      </c>
      <c r="K47" s="21">
        <f>Table2417[HRGA JUAL]*Table2417[SISA]</f>
        <v>0</v>
      </c>
      <c r="L47" s="64">
        <f>Table2417[HARGA POKOK]*Table2417[STOK]</f>
        <v>1500</v>
      </c>
      <c r="M47" s="64">
        <f>Table2417[HRGA JUAL]*Table2417[STOK]</f>
        <v>5000</v>
      </c>
    </row>
    <row r="48" spans="1:13" x14ac:dyDescent="0.25">
      <c r="A48" s="22">
        <v>44</v>
      </c>
      <c r="B48" s="19" t="s">
        <v>32</v>
      </c>
      <c r="C48" s="19" t="s">
        <v>22</v>
      </c>
      <c r="D48" s="21">
        <v>27500</v>
      </c>
      <c r="E48" s="21">
        <v>40000</v>
      </c>
      <c r="F48" s="18">
        <v>5</v>
      </c>
      <c r="G48" s="18">
        <v>4</v>
      </c>
      <c r="H48" s="63">
        <f>Table2417[STOK]-Table2417[TERJUAL]</f>
        <v>1</v>
      </c>
      <c r="I48" s="21">
        <f>(Table2417[HRGA JUAL]*Table2417[TERJUAL])-(Table2417[HARGA POKOK]*Table2417[TERJUAL])</f>
        <v>50000</v>
      </c>
      <c r="J48" s="21">
        <f>(Table2417[HRGA JUAL]*Table2417[TERJUAL])</f>
        <v>160000</v>
      </c>
      <c r="K48" s="21">
        <f>Table2417[HRGA JUAL]*Table2417[SISA]</f>
        <v>40000</v>
      </c>
      <c r="L48" s="64">
        <f>Table2417[HARGA POKOK]*Table2417[STOK]</f>
        <v>137500</v>
      </c>
      <c r="M48" s="64">
        <f>Table2417[HRGA JUAL]*Table2417[STOK]</f>
        <v>200000</v>
      </c>
    </row>
    <row r="49" spans="1:13" x14ac:dyDescent="0.25">
      <c r="A49" s="18">
        <v>45</v>
      </c>
      <c r="B49" s="19" t="s">
        <v>32</v>
      </c>
      <c r="C49" s="19" t="s">
        <v>24</v>
      </c>
      <c r="D49" s="21">
        <v>17500</v>
      </c>
      <c r="E49" s="21">
        <v>40000</v>
      </c>
      <c r="F49" s="18">
        <v>30</v>
      </c>
      <c r="H49" s="63">
        <f>Table2417[STOK]-Table2417[TERJUAL]</f>
        <v>30</v>
      </c>
      <c r="I49" s="21">
        <f>(Table2417[HRGA JUAL]*Table2417[TERJUAL])-(Table2417[HARGA POKOK]*Table2417[TERJUAL])</f>
        <v>0</v>
      </c>
      <c r="J49" s="21">
        <f>(Table2417[HRGA JUAL]*Table2417[TERJUAL])</f>
        <v>0</v>
      </c>
      <c r="K49" s="21">
        <f>Table2417[HRGA JUAL]*Table2417[SISA]</f>
        <v>1200000</v>
      </c>
      <c r="L49" s="64">
        <f>Table2417[HARGA POKOK]*Table2417[STOK]</f>
        <v>525000</v>
      </c>
      <c r="M49" s="64">
        <f>Table2417[HRGA JUAL]*Table2417[STOK]</f>
        <v>1200000</v>
      </c>
    </row>
    <row r="50" spans="1:13" x14ac:dyDescent="0.25">
      <c r="A50" s="22">
        <v>46</v>
      </c>
      <c r="B50" s="278" t="s">
        <v>33</v>
      </c>
      <c r="C50" s="278" t="s">
        <v>37</v>
      </c>
      <c r="D50" s="24">
        <v>8700</v>
      </c>
      <c r="E50" s="24">
        <v>15000</v>
      </c>
      <c r="F50" s="22">
        <v>21</v>
      </c>
      <c r="G50" s="22">
        <v>4</v>
      </c>
      <c r="H50" s="65">
        <f>Table2417[STOK]-Table2417[TERJUAL]</f>
        <v>17</v>
      </c>
      <c r="I50" s="21">
        <f>(Table2417[HRGA JUAL]*Table2417[TERJUAL])-(Table2417[HARGA POKOK]*Table2417[TERJUAL])</f>
        <v>25200</v>
      </c>
      <c r="J50" s="24">
        <f>(Table2417[HRGA JUAL]*Table2417[TERJUAL])</f>
        <v>60000</v>
      </c>
      <c r="K50" s="24">
        <f>Table2417[HRGA JUAL]*Table2417[SISA]</f>
        <v>255000</v>
      </c>
      <c r="L50" s="64">
        <f>Table2417[HARGA POKOK]*Table2417[STOK]</f>
        <v>182700</v>
      </c>
      <c r="M50" s="64">
        <f>Table2417[HRGA JUAL]*Table2417[STOK]</f>
        <v>315000</v>
      </c>
    </row>
    <row r="51" spans="1:13" x14ac:dyDescent="0.25">
      <c r="A51" s="18">
        <v>47</v>
      </c>
      <c r="B51" s="278" t="s">
        <v>33</v>
      </c>
      <c r="C51" s="19" t="s">
        <v>25</v>
      </c>
      <c r="D51" s="21">
        <v>8800</v>
      </c>
      <c r="E51" s="21">
        <v>15000</v>
      </c>
      <c r="F51" s="18">
        <v>12</v>
      </c>
      <c r="G51" s="18">
        <v>2</v>
      </c>
      <c r="H51" s="63">
        <f>Table2417[STOK]-Table2417[TERJUAL]</f>
        <v>10</v>
      </c>
      <c r="I51" s="21">
        <f>(Table2417[HRGA JUAL]*Table2417[TERJUAL])-(Table2417[HARGA POKOK]*Table2417[TERJUAL])</f>
        <v>12400</v>
      </c>
      <c r="J51" s="21">
        <f>(Table2417[HRGA JUAL]*Table2417[TERJUAL])</f>
        <v>30000</v>
      </c>
      <c r="K51" s="21">
        <f>Table2417[HRGA JUAL]*Table2417[SISA]</f>
        <v>150000</v>
      </c>
      <c r="L51" s="64">
        <f>Table2417[HARGA POKOK]*Table2417[STOK]</f>
        <v>105600</v>
      </c>
      <c r="M51" s="64">
        <f>Table2417[HRGA JUAL]*Table2417[STOK]</f>
        <v>180000</v>
      </c>
    </row>
    <row r="52" spans="1:13" x14ac:dyDescent="0.25">
      <c r="A52" s="22">
        <v>48</v>
      </c>
      <c r="B52" s="278" t="s">
        <v>33</v>
      </c>
      <c r="C52" s="19" t="s">
        <v>26</v>
      </c>
      <c r="D52" s="21">
        <v>315000</v>
      </c>
      <c r="E52" s="21">
        <v>475000</v>
      </c>
      <c r="F52" s="18">
        <v>189</v>
      </c>
      <c r="H52" s="63">
        <f>Table2417[STOK]-Table2417[TERJUAL]</f>
        <v>189</v>
      </c>
      <c r="I52" s="21">
        <f>(Table2417[HRGA JUAL]*Table2417[TERJUAL])-(Table2417[HARGA POKOK]*Table2417[TERJUAL])</f>
        <v>0</v>
      </c>
      <c r="J52" s="21">
        <f>(Table2417[HRGA JUAL]*Table2417[TERJUAL])</f>
        <v>0</v>
      </c>
      <c r="K52" s="21">
        <f>Table2417[HRGA JUAL]*Table2417[SISA]</f>
        <v>89775000</v>
      </c>
      <c r="L52" s="64">
        <f>Table2417[HARGA POKOK]*Table2417[STOK]</f>
        <v>59535000</v>
      </c>
      <c r="M52" s="64">
        <f>Table2417[HRGA JUAL]*Table2417[STOK]</f>
        <v>89775000</v>
      </c>
    </row>
    <row r="53" spans="1:13" x14ac:dyDescent="0.25">
      <c r="A53" s="18">
        <v>49</v>
      </c>
      <c r="B53" s="278" t="s">
        <v>34</v>
      </c>
      <c r="C53" s="278" t="s">
        <v>78</v>
      </c>
      <c r="D53" s="24">
        <v>335000</v>
      </c>
      <c r="E53" s="24">
        <v>490000</v>
      </c>
      <c r="F53" s="22">
        <v>3</v>
      </c>
      <c r="G53" s="22"/>
      <c r="H53" s="65">
        <f>Table2417[STOK]-Table2417[TERJUAL]</f>
        <v>3</v>
      </c>
      <c r="I53" s="21">
        <f>(Table2417[HRGA JUAL]*Table2417[TERJUAL])-(Table2417[HARGA POKOK]*Table2417[TERJUAL])</f>
        <v>0</v>
      </c>
      <c r="J53" s="24">
        <f>(Table2417[HRGA JUAL]*Table2417[TERJUAL])</f>
        <v>0</v>
      </c>
      <c r="K53" s="24">
        <f>Table2417[HRGA JUAL]*Table2417[SISA]</f>
        <v>1470000</v>
      </c>
      <c r="L53" s="64">
        <f>Table2417[HARGA POKOK]*Table2417[STOK]</f>
        <v>1005000</v>
      </c>
      <c r="M53" s="64">
        <f>Table2417[HRGA JUAL]*Table2417[STOK]</f>
        <v>1470000</v>
      </c>
    </row>
    <row r="54" spans="1:13" x14ac:dyDescent="0.25">
      <c r="A54" s="18"/>
      <c r="B54" s="278"/>
      <c r="C54" s="278" t="s">
        <v>310</v>
      </c>
      <c r="D54" s="24">
        <v>335000</v>
      </c>
      <c r="E54" s="24">
        <v>400000</v>
      </c>
      <c r="F54" s="22">
        <v>4</v>
      </c>
      <c r="G54" s="22">
        <v>2</v>
      </c>
      <c r="H54" s="65">
        <f>Table2417[STOK]-Table2417[TERJUAL]</f>
        <v>2</v>
      </c>
      <c r="I54" s="21">
        <f>(Table2417[HRGA JUAL]*Table2417[TERJUAL])-(Table2417[HARGA POKOK]*Table2417[TERJUAL])</f>
        <v>130000</v>
      </c>
      <c r="J54" s="24">
        <f>(Table2417[HRGA JUAL]*Table2417[TERJUAL])</f>
        <v>800000</v>
      </c>
      <c r="K54" s="24">
        <f>Table2417[HRGA JUAL]*Table2417[SISA]</f>
        <v>800000</v>
      </c>
      <c r="L54" s="64">
        <f>Table2417[HARGA POKOK]*Table2417[STOK]</f>
        <v>1340000</v>
      </c>
      <c r="M54" s="64">
        <f>Table2417[HRGA JUAL]*Table2417[STOK]</f>
        <v>1600000</v>
      </c>
    </row>
    <row r="55" spans="1:13" x14ac:dyDescent="0.25">
      <c r="A55" s="29">
        <v>50</v>
      </c>
      <c r="B55" s="30" t="s">
        <v>40</v>
      </c>
      <c r="C55" s="30" t="s">
        <v>79</v>
      </c>
      <c r="D55" s="31">
        <v>25000</v>
      </c>
      <c r="E55" s="31">
        <v>40000</v>
      </c>
      <c r="F55" s="29"/>
      <c r="G55" s="29"/>
      <c r="H55" s="66">
        <f>Table2417[STOK]-Table2417[TERJUAL]</f>
        <v>0</v>
      </c>
      <c r="I55" s="67">
        <f>(Table2417[HRGA JUAL]*Table2417[TERJUAL])-(Table2417[HARGA POKOK]*Table2417[TERJUAL])</f>
        <v>0</v>
      </c>
      <c r="J55" s="31">
        <f>(Table2417[HRGA JUAL]*Table2417[TERJUAL])</f>
        <v>0</v>
      </c>
      <c r="K55" s="31"/>
      <c r="L55" s="68"/>
      <c r="M55" s="68"/>
    </row>
    <row r="56" spans="1:13" x14ac:dyDescent="0.25">
      <c r="A56" s="37">
        <v>51</v>
      </c>
      <c r="B56" s="30" t="s">
        <v>71</v>
      </c>
      <c r="C56" s="30" t="s">
        <v>70</v>
      </c>
      <c r="D56" s="31">
        <v>1000</v>
      </c>
      <c r="E56" s="31">
        <v>1700</v>
      </c>
      <c r="F56" s="29"/>
      <c r="G56" s="29">
        <v>46</v>
      </c>
      <c r="H56" s="66">
        <f>Table2417[STOK]-Table2417[TERJUAL]</f>
        <v>-46</v>
      </c>
      <c r="I56" s="67">
        <f>(Table2417[HRGA JUAL]*Table2417[TERJUAL])-(Table2417[HARGA POKOK]*Table2417[TERJUAL])</f>
        <v>32200</v>
      </c>
      <c r="J56" s="31">
        <f>(Table2417[HRGA JUAL]*Table2417[TERJUAL])</f>
        <v>78200</v>
      </c>
      <c r="K56" s="31"/>
      <c r="L56" s="68"/>
      <c r="M56" s="68"/>
    </row>
    <row r="57" spans="1:13" x14ac:dyDescent="0.25">
      <c r="A57" s="29">
        <v>52</v>
      </c>
      <c r="B57" s="30" t="s">
        <v>68</v>
      </c>
      <c r="C57" s="30" t="s">
        <v>69</v>
      </c>
      <c r="D57" s="38">
        <v>6300</v>
      </c>
      <c r="E57" s="31">
        <v>10000</v>
      </c>
      <c r="F57" s="29"/>
      <c r="G57" s="29">
        <v>1294</v>
      </c>
      <c r="H57" s="66">
        <f>Table2417[STOK]-Table2417[TERJUAL]</f>
        <v>-1294</v>
      </c>
      <c r="I57" s="67">
        <f>(Table2417[HRGA JUAL]*Table2417[TERJUAL])-(Table2417[HARGA POKOK]*Table2417[TERJUAL])</f>
        <v>4787800</v>
      </c>
      <c r="J57" s="31">
        <f>(Table2417[HRGA JUAL]*Table2417[TERJUAL])</f>
        <v>12940000</v>
      </c>
      <c r="K57" s="31"/>
      <c r="L57" s="68"/>
      <c r="M57" s="68"/>
    </row>
    <row r="58" spans="1:13" x14ac:dyDescent="0.25">
      <c r="A58" s="37">
        <v>53</v>
      </c>
      <c r="B58" s="30" t="s">
        <v>74</v>
      </c>
      <c r="C58" s="30" t="s">
        <v>80</v>
      </c>
      <c r="D58" s="38">
        <v>6700</v>
      </c>
      <c r="E58" s="31">
        <v>11000</v>
      </c>
      <c r="F58" s="29">
        <v>0</v>
      </c>
      <c r="G58" s="29">
        <v>5</v>
      </c>
      <c r="H58" s="66">
        <f>Table2417[STOK]-Table2417[TERJUAL]</f>
        <v>-5</v>
      </c>
      <c r="I58" s="67">
        <f>(Table2417[HRGA JUAL]*Table2417[TERJUAL])-(Table2417[HARGA POKOK]*Table2417[TERJUAL])</f>
        <v>21500</v>
      </c>
      <c r="J58" s="31">
        <f>(Table2417[HRGA JUAL]*Table2417[TERJUAL])</f>
        <v>55000</v>
      </c>
      <c r="K58" s="31"/>
      <c r="L58" s="68"/>
      <c r="M58" s="68"/>
    </row>
    <row r="59" spans="1:13" ht="18.75" x14ac:dyDescent="0.25">
      <c r="A59" s="364" t="s">
        <v>8</v>
      </c>
      <c r="B59" s="365"/>
      <c r="C59" s="365"/>
      <c r="D59" s="365"/>
      <c r="E59" s="365"/>
      <c r="F59" s="365"/>
      <c r="G59" s="365"/>
      <c r="H59" s="366"/>
      <c r="I59" s="71">
        <f>SUM(I5:I58)</f>
        <v>6059600</v>
      </c>
      <c r="J59" s="72">
        <f>SUM(J5:J58)</f>
        <v>18812200</v>
      </c>
      <c r="K59" s="71">
        <f>SUBTOTAL(109,Table2417[NILAI BLM TERJUAL])</f>
        <v>242594000</v>
      </c>
      <c r="L59" s="73">
        <f>SUM(L5:L58)</f>
        <v>177760550</v>
      </c>
      <c r="M59" s="73">
        <f>SUM(M5:M53)</f>
        <v>246813000</v>
      </c>
    </row>
    <row r="73" spans="1:13" x14ac:dyDescent="0.25">
      <c r="E73" s="22"/>
      <c r="F73" s="22"/>
      <c r="G73" s="74"/>
      <c r="H73" s="74"/>
      <c r="I73" s="74"/>
      <c r="J73" s="74"/>
      <c r="K73" s="74"/>
      <c r="L73" s="74"/>
      <c r="M73" s="58"/>
    </row>
    <row r="74" spans="1:13" ht="18.75" x14ac:dyDescent="0.3">
      <c r="A74" s="360" t="s">
        <v>99</v>
      </c>
      <c r="B74" s="360"/>
      <c r="C74" s="360"/>
      <c r="D74" s="360"/>
    </row>
    <row r="75" spans="1:13" ht="18.75" x14ac:dyDescent="0.3">
      <c r="A75" s="360" t="s">
        <v>110</v>
      </c>
      <c r="B75" s="360"/>
      <c r="C75" s="360"/>
      <c r="D75" s="360"/>
    </row>
    <row r="76" spans="1:13" ht="18.75" x14ac:dyDescent="0.3">
      <c r="A76" s="360" t="s">
        <v>75</v>
      </c>
      <c r="B76" s="360"/>
      <c r="C76" s="360"/>
      <c r="D76" s="360"/>
    </row>
    <row r="77" spans="1:13" x14ac:dyDescent="0.25">
      <c r="A77"/>
      <c r="B77"/>
      <c r="C77"/>
      <c r="D77"/>
    </row>
    <row r="78" spans="1:13" ht="15.75" x14ac:dyDescent="0.25">
      <c r="A78" s="356" t="s">
        <v>111</v>
      </c>
      <c r="B78" s="357"/>
      <c r="C78" s="356" t="s">
        <v>77</v>
      </c>
      <c r="D78" s="357"/>
    </row>
    <row r="79" spans="1:13" ht="15.75" x14ac:dyDescent="0.25">
      <c r="A79" s="281" t="s">
        <v>103</v>
      </c>
      <c r="B79" s="282"/>
      <c r="C79" s="48"/>
      <c r="D79" s="48"/>
    </row>
    <row r="80" spans="1:13" ht="15.75" x14ac:dyDescent="0.25">
      <c r="A80" s="354" t="s">
        <v>102</v>
      </c>
      <c r="B80" s="355"/>
      <c r="C80" s="46">
        <v>18812200</v>
      </c>
      <c r="D80" s="46"/>
    </row>
    <row r="81" spans="1:13" ht="15.75" x14ac:dyDescent="0.25">
      <c r="A81" s="356" t="s">
        <v>104</v>
      </c>
      <c r="B81" s="357"/>
      <c r="C81" s="46"/>
      <c r="D81" s="47">
        <v>18812200</v>
      </c>
    </row>
    <row r="82" spans="1:13" ht="15.75" x14ac:dyDescent="0.25">
      <c r="A82" s="350" t="s">
        <v>106</v>
      </c>
      <c r="B82" s="351"/>
      <c r="C82" s="46"/>
      <c r="D82" s="46">
        <v>12752600</v>
      </c>
    </row>
    <row r="83" spans="1:13" ht="15.75" x14ac:dyDescent="0.25">
      <c r="A83" s="358" t="s">
        <v>114</v>
      </c>
      <c r="B83" s="359"/>
      <c r="C83" s="49"/>
      <c r="D83" s="50">
        <v>6059600</v>
      </c>
      <c r="G83" s="58"/>
      <c r="H83" s="58"/>
      <c r="I83" s="58"/>
      <c r="J83" s="58"/>
      <c r="K83" s="58"/>
      <c r="L83" s="58"/>
      <c r="M83" s="58"/>
    </row>
    <row r="84" spans="1:13" ht="15.75" x14ac:dyDescent="0.25">
      <c r="A84" s="346" t="s">
        <v>105</v>
      </c>
      <c r="B84" s="347"/>
      <c r="C84" s="46"/>
      <c r="D84" s="54"/>
      <c r="G84" s="58"/>
      <c r="H84" s="58"/>
      <c r="I84" s="58"/>
      <c r="J84" s="58"/>
      <c r="K84" s="58"/>
      <c r="L84" s="58"/>
      <c r="M84" s="58"/>
    </row>
    <row r="85" spans="1:13" ht="15.75" x14ac:dyDescent="0.25">
      <c r="A85" s="348" t="s">
        <v>97</v>
      </c>
      <c r="B85" s="349"/>
      <c r="C85" s="46">
        <v>2000000</v>
      </c>
      <c r="D85" s="46"/>
      <c r="G85" s="58"/>
      <c r="H85" s="58"/>
      <c r="I85" s="58"/>
      <c r="J85" s="58"/>
      <c r="K85" s="58"/>
      <c r="L85" s="58"/>
      <c r="M85" s="58"/>
    </row>
    <row r="86" spans="1:13" ht="15.75" x14ac:dyDescent="0.25">
      <c r="A86" s="350" t="s">
        <v>98</v>
      </c>
      <c r="B86" s="351"/>
      <c r="C86" s="46">
        <v>416000</v>
      </c>
      <c r="D86" s="46"/>
      <c r="G86" s="58"/>
      <c r="H86" s="58"/>
      <c r="I86" s="58"/>
      <c r="J86" s="58"/>
      <c r="K86" s="58"/>
      <c r="L86" s="58"/>
      <c r="M86" s="58"/>
    </row>
    <row r="87" spans="1:13" ht="15.75" x14ac:dyDescent="0.25">
      <c r="A87" s="344" t="s">
        <v>312</v>
      </c>
      <c r="B87" s="345"/>
      <c r="C87" s="46">
        <v>193000</v>
      </c>
      <c r="D87" s="46"/>
      <c r="G87" s="58"/>
      <c r="H87" s="58"/>
      <c r="I87" s="58"/>
      <c r="J87" s="58"/>
      <c r="K87" s="58"/>
      <c r="L87" s="58"/>
      <c r="M87" s="58"/>
    </row>
    <row r="88" spans="1:13" ht="15.75" x14ac:dyDescent="0.25">
      <c r="A88" s="352" t="s">
        <v>107</v>
      </c>
      <c r="B88" s="353"/>
      <c r="C88" s="51" t="s">
        <v>117</v>
      </c>
      <c r="D88" s="47">
        <f>SUM(C85:C87)</f>
        <v>2609000</v>
      </c>
      <c r="G88" s="58"/>
      <c r="H88" s="58"/>
      <c r="I88" s="58"/>
      <c r="J88" s="58"/>
      <c r="K88" s="58"/>
      <c r="L88" s="58"/>
      <c r="M88" s="58"/>
    </row>
    <row r="89" spans="1:13" ht="15.75" x14ac:dyDescent="0.25">
      <c r="A89" s="344" t="s">
        <v>108</v>
      </c>
      <c r="B89" s="345"/>
      <c r="C89" s="51"/>
      <c r="D89" s="51"/>
      <c r="G89" s="58"/>
      <c r="H89" s="58"/>
      <c r="I89" s="58"/>
      <c r="J89" s="58"/>
      <c r="K89" s="58"/>
      <c r="L89" s="58"/>
      <c r="M89" s="58"/>
    </row>
    <row r="90" spans="1:13" ht="15.75" x14ac:dyDescent="0.25">
      <c r="A90" s="346" t="s">
        <v>109</v>
      </c>
      <c r="B90" s="347"/>
      <c r="C90" s="48"/>
      <c r="D90" s="50">
        <f>SUM(D83-D88)</f>
        <v>3450600</v>
      </c>
      <c r="G90" s="58"/>
      <c r="H90" s="58"/>
      <c r="I90" s="58"/>
      <c r="J90" s="58"/>
      <c r="K90" s="58"/>
      <c r="L90" s="58"/>
      <c r="M90" s="58"/>
    </row>
    <row r="91" spans="1:13" x14ac:dyDescent="0.25">
      <c r="A91"/>
      <c r="B91"/>
      <c r="C91"/>
      <c r="D91"/>
      <c r="G91" s="58"/>
      <c r="H91" s="58"/>
      <c r="I91" s="58"/>
      <c r="J91" s="58"/>
      <c r="K91" s="58"/>
      <c r="L91" s="58"/>
      <c r="M91" s="58"/>
    </row>
  </sheetData>
  <mergeCells count="19">
    <mergeCell ref="A87:B87"/>
    <mergeCell ref="A88:B88"/>
    <mergeCell ref="A89:B89"/>
    <mergeCell ref="A90:B90"/>
    <mergeCell ref="A81:B81"/>
    <mergeCell ref="A82:B82"/>
    <mergeCell ref="A83:B83"/>
    <mergeCell ref="A84:B84"/>
    <mergeCell ref="A85:B85"/>
    <mergeCell ref="A86:B86"/>
    <mergeCell ref="A1:N1"/>
    <mergeCell ref="A2:N2"/>
    <mergeCell ref="A59:H59"/>
    <mergeCell ref="A80:B80"/>
    <mergeCell ref="A74:D74"/>
    <mergeCell ref="A75:D75"/>
    <mergeCell ref="A76:D76"/>
    <mergeCell ref="A78:B78"/>
    <mergeCell ref="C78:D78"/>
  </mergeCells>
  <pageMargins left="0.7" right="0.7" top="0.75" bottom="0.75" header="0.3" footer="0.3"/>
  <pageSetup scale="47" fitToHeight="0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1"/>
  <sheetViews>
    <sheetView topLeftCell="A61" workbookViewId="0">
      <selection activeCell="D88" sqref="D88"/>
    </sheetView>
  </sheetViews>
  <sheetFormatPr defaultRowHeight="15" x14ac:dyDescent="0.25"/>
  <cols>
    <col min="1" max="1" width="6.28515625" style="58" customWidth="1"/>
    <col min="2" max="2" width="23.28515625" style="18" customWidth="1"/>
    <col min="3" max="3" width="27.5703125" style="19" customWidth="1"/>
    <col min="4" max="4" width="18.7109375" style="58" customWidth="1"/>
    <col min="5" max="5" width="16.28515625" style="58" bestFit="1" customWidth="1"/>
    <col min="6" max="6" width="10.7109375" style="58" bestFit="1" customWidth="1"/>
    <col min="7" max="7" width="13.7109375" style="18" bestFit="1" customWidth="1"/>
    <col min="8" max="8" width="14.28515625" style="59" customWidth="1"/>
    <col min="9" max="9" width="19.5703125" style="60" customWidth="1"/>
    <col min="10" max="10" width="27.7109375" style="60" customWidth="1"/>
    <col min="11" max="11" width="28.7109375" style="60" customWidth="1"/>
    <col min="12" max="12" width="21.5703125" style="18" bestFit="1" customWidth="1"/>
    <col min="13" max="13" width="20.7109375" style="18" customWidth="1"/>
    <col min="14" max="14" width="10.5703125" style="58" customWidth="1"/>
    <col min="15" max="16384" width="9.140625" style="58"/>
  </cols>
  <sheetData>
    <row r="1" spans="1:14" ht="21" x14ac:dyDescent="0.35">
      <c r="A1" s="362" t="s">
        <v>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</row>
    <row r="2" spans="1:14" ht="18.75" x14ac:dyDescent="0.3">
      <c r="A2" s="363" t="s">
        <v>313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</row>
    <row r="4" spans="1:14" ht="15.75" x14ac:dyDescent="0.25">
      <c r="A4" s="15" t="s">
        <v>0</v>
      </c>
      <c r="B4" s="16" t="s">
        <v>1</v>
      </c>
      <c r="C4" s="17" t="s">
        <v>2</v>
      </c>
      <c r="D4" s="16" t="s">
        <v>119</v>
      </c>
      <c r="E4" s="16" t="s">
        <v>94</v>
      </c>
      <c r="F4" s="16" t="s">
        <v>4</v>
      </c>
      <c r="G4" s="16" t="s">
        <v>5</v>
      </c>
      <c r="H4" s="61" t="s">
        <v>6</v>
      </c>
      <c r="I4" s="62" t="s">
        <v>7</v>
      </c>
      <c r="J4" s="62" t="s">
        <v>100</v>
      </c>
      <c r="K4" s="62" t="s">
        <v>101</v>
      </c>
      <c r="L4" s="16" t="s">
        <v>95</v>
      </c>
      <c r="M4" s="16" t="s">
        <v>96</v>
      </c>
      <c r="N4" s="16" t="s">
        <v>72</v>
      </c>
    </row>
    <row r="5" spans="1:14" x14ac:dyDescent="0.25">
      <c r="A5" s="18">
        <v>1</v>
      </c>
      <c r="B5" s="19" t="s">
        <v>27</v>
      </c>
      <c r="C5" s="19" t="s">
        <v>41</v>
      </c>
      <c r="D5" s="20">
        <v>73500</v>
      </c>
      <c r="E5" s="21">
        <v>95000</v>
      </c>
      <c r="F5" s="18">
        <v>138</v>
      </c>
      <c r="G5" s="18">
        <v>15</v>
      </c>
      <c r="H5" s="63">
        <f>Table241718[STOK]-Table241718[TERJUAL]</f>
        <v>123</v>
      </c>
      <c r="I5" s="21">
        <f>(Table241718[HRGA JUAL]*Table241718[TERJUAL])-(Table241718[HARGA POKOK]*Table241718[TERJUAL])</f>
        <v>322500</v>
      </c>
      <c r="J5" s="21">
        <f>(Table241718[HRGA JUAL]*Table241718[TERJUAL])</f>
        <v>1425000</v>
      </c>
      <c r="K5" s="21">
        <f>Table241718[HRGA JUAL]*Table241718[SISA]</f>
        <v>11685000</v>
      </c>
      <c r="L5" s="64">
        <f>Table241718[HARGA POKOK]*Table241718[STOK]</f>
        <v>10143000</v>
      </c>
      <c r="M5" s="64">
        <f>Table241718[HRGA JUAL]*Table241718[STOK]</f>
        <v>13110000</v>
      </c>
    </row>
    <row r="6" spans="1:14" x14ac:dyDescent="0.25">
      <c r="A6" s="22">
        <v>2</v>
      </c>
      <c r="B6" s="19" t="s">
        <v>27</v>
      </c>
      <c r="C6" s="278" t="s">
        <v>42</v>
      </c>
      <c r="D6" s="24">
        <v>58500</v>
      </c>
      <c r="E6" s="24">
        <v>80000</v>
      </c>
      <c r="F6" s="22">
        <v>53</v>
      </c>
      <c r="G6" s="22">
        <v>3</v>
      </c>
      <c r="H6" s="65">
        <f>Table241718[STOK]-Table241718[TERJUAL]</f>
        <v>50</v>
      </c>
      <c r="I6" s="21">
        <f>(Table241718[HRGA JUAL]*Table241718[TERJUAL])-(Table241718[HARGA POKOK]*Table241718[TERJUAL])</f>
        <v>64500</v>
      </c>
      <c r="J6" s="24">
        <f>(Table241718[HRGA JUAL]*Table241718[TERJUAL])</f>
        <v>240000</v>
      </c>
      <c r="K6" s="24">
        <f>Table241718[HRGA JUAL]*Table241718[SISA]</f>
        <v>4000000</v>
      </c>
      <c r="L6" s="64">
        <f>Table241718[HARGA POKOK]*Table241718[STOK]</f>
        <v>3100500</v>
      </c>
      <c r="M6" s="64">
        <f>Table241718[HRGA JUAL]*Table241718[STOK]</f>
        <v>4240000</v>
      </c>
    </row>
    <row r="7" spans="1:14" x14ac:dyDescent="0.25">
      <c r="A7" s="18">
        <v>3</v>
      </c>
      <c r="B7" s="19" t="s">
        <v>27</v>
      </c>
      <c r="C7" s="19" t="s">
        <v>43</v>
      </c>
      <c r="D7" s="21">
        <v>52500</v>
      </c>
      <c r="E7" s="21">
        <v>75000</v>
      </c>
      <c r="F7" s="18">
        <v>40</v>
      </c>
      <c r="H7" s="63">
        <f>Table241718[STOK]-Table241718[TERJUAL]</f>
        <v>40</v>
      </c>
      <c r="I7" s="21">
        <f>(Table241718[HRGA JUAL]*Table241718[TERJUAL])-(Table241718[HARGA POKOK]*Table241718[TERJUAL])</f>
        <v>0</v>
      </c>
      <c r="J7" s="21">
        <f>(Table241718[HRGA JUAL]*Table241718[TERJUAL])</f>
        <v>0</v>
      </c>
      <c r="K7" s="21">
        <f>Table241718[HRGA JUAL]*Table241718[SISA]</f>
        <v>3000000</v>
      </c>
      <c r="L7" s="64">
        <f>Table241718[HARGA POKOK]*Table241718[STOK]</f>
        <v>2100000</v>
      </c>
      <c r="M7" s="64">
        <f>Table241718[HRGA JUAL]*Table241718[STOK]</f>
        <v>3000000</v>
      </c>
    </row>
    <row r="8" spans="1:14" x14ac:dyDescent="0.25">
      <c r="A8" s="22">
        <v>4</v>
      </c>
      <c r="B8" s="19" t="s">
        <v>27</v>
      </c>
      <c r="C8" s="19" t="s">
        <v>44</v>
      </c>
      <c r="D8" s="21">
        <v>63500</v>
      </c>
      <c r="E8" s="21">
        <v>80000</v>
      </c>
      <c r="F8" s="18">
        <v>80</v>
      </c>
      <c r="G8" s="18">
        <v>7</v>
      </c>
      <c r="H8" s="63">
        <f>Table241718[STOK]-Table241718[TERJUAL]</f>
        <v>73</v>
      </c>
      <c r="I8" s="21">
        <f>(Table241718[HRGA JUAL]*Table241718[TERJUAL])-(Table241718[HARGA POKOK]*Table241718[TERJUAL])</f>
        <v>115500</v>
      </c>
      <c r="J8" s="21">
        <f>(Table241718[HRGA JUAL]*Table241718[TERJUAL])</f>
        <v>560000</v>
      </c>
      <c r="K8" s="21">
        <f>Table241718[HRGA JUAL]*Table241718[SISA]</f>
        <v>5840000</v>
      </c>
      <c r="L8" s="64">
        <f>Table241718[HARGA POKOK]*Table241718[STOK]</f>
        <v>5080000</v>
      </c>
      <c r="M8" s="64">
        <f>Table241718[HRGA JUAL]*Table241718[STOK]</f>
        <v>6400000</v>
      </c>
    </row>
    <row r="9" spans="1:14" x14ac:dyDescent="0.25">
      <c r="A9" s="18">
        <v>5</v>
      </c>
      <c r="B9" s="19" t="s">
        <v>27</v>
      </c>
      <c r="C9" s="19" t="s">
        <v>45</v>
      </c>
      <c r="D9" s="21">
        <v>58500</v>
      </c>
      <c r="E9" s="21">
        <v>80000</v>
      </c>
      <c r="F9" s="18">
        <v>86</v>
      </c>
      <c r="G9" s="18">
        <v>2</v>
      </c>
      <c r="H9" s="63">
        <f>Table241718[STOK]-Table241718[TERJUAL]</f>
        <v>84</v>
      </c>
      <c r="I9" s="21">
        <f>(Table241718[HRGA JUAL]*Table241718[TERJUAL])-(Table241718[HARGA POKOK]*Table241718[TERJUAL])</f>
        <v>43000</v>
      </c>
      <c r="J9" s="21">
        <f>(Table241718[HRGA JUAL]*Table241718[TERJUAL])</f>
        <v>160000</v>
      </c>
      <c r="K9" s="21">
        <f>Table241718[HRGA JUAL]*Table241718[SISA]</f>
        <v>6720000</v>
      </c>
      <c r="L9" s="64">
        <f>Table241718[HARGA POKOK]*Table241718[STOK]</f>
        <v>5031000</v>
      </c>
      <c r="M9" s="64">
        <f>Table241718[HRGA JUAL]*Table241718[STOK]</f>
        <v>6880000</v>
      </c>
    </row>
    <row r="10" spans="1:14" x14ac:dyDescent="0.25">
      <c r="A10" s="22">
        <v>6</v>
      </c>
      <c r="B10" s="19" t="s">
        <v>27</v>
      </c>
      <c r="C10" s="19" t="s">
        <v>46</v>
      </c>
      <c r="D10" s="21">
        <v>83500</v>
      </c>
      <c r="E10" s="21">
        <v>110000</v>
      </c>
      <c r="F10" s="18">
        <v>40</v>
      </c>
      <c r="H10" s="63">
        <f>Table241718[STOK]-Table241718[TERJUAL]</f>
        <v>40</v>
      </c>
      <c r="I10" s="21">
        <f>(Table241718[HRGA JUAL]*Table241718[TERJUAL])-(Table241718[HARGA POKOK]*Table241718[TERJUAL])</f>
        <v>0</v>
      </c>
      <c r="J10" s="21">
        <f>(Table241718[HRGA JUAL]*Table241718[TERJUAL])</f>
        <v>0</v>
      </c>
      <c r="K10" s="21">
        <f>Table241718[HRGA JUAL]*Table241718[SISA]</f>
        <v>4400000</v>
      </c>
      <c r="L10" s="64">
        <f>Table241718[HARGA POKOK]*Table241718[STOK]</f>
        <v>3340000</v>
      </c>
      <c r="M10" s="64">
        <f>Table241718[HRGA JUAL]*Table241718[STOK]</f>
        <v>4400000</v>
      </c>
    </row>
    <row r="11" spans="1:14" x14ac:dyDescent="0.25">
      <c r="A11" s="18">
        <v>7</v>
      </c>
      <c r="B11" s="19" t="s">
        <v>28</v>
      </c>
      <c r="C11" s="19" t="s">
        <v>38</v>
      </c>
      <c r="D11" s="21">
        <v>88500</v>
      </c>
      <c r="E11" s="21">
        <v>115000</v>
      </c>
      <c r="F11" s="18">
        <v>18</v>
      </c>
      <c r="H11" s="63">
        <f>Table241718[STOK]-Table241718[TERJUAL]</f>
        <v>18</v>
      </c>
      <c r="I11" s="21">
        <f>(Table241718[HRGA JUAL]*Table241718[TERJUAL])-(Table241718[HARGA POKOK]*Table241718[TERJUAL])</f>
        <v>0</v>
      </c>
      <c r="J11" s="21">
        <f>(Table241718[HRGA JUAL]*Table241718[TERJUAL])</f>
        <v>0</v>
      </c>
      <c r="K11" s="21">
        <f>Table241718[HRGA JUAL]*Table241718[SISA]</f>
        <v>2070000</v>
      </c>
      <c r="L11" s="64">
        <f>Table241718[HARGA POKOK]*Table241718[STOK]</f>
        <v>1593000</v>
      </c>
      <c r="M11" s="64">
        <f>Table241718[HRGA JUAL]*Table241718[STOK]</f>
        <v>2070000</v>
      </c>
    </row>
    <row r="12" spans="1:14" x14ac:dyDescent="0.25">
      <c r="A12" s="22">
        <v>8</v>
      </c>
      <c r="B12" s="278" t="s">
        <v>28</v>
      </c>
      <c r="C12" s="278" t="s">
        <v>10</v>
      </c>
      <c r="D12" s="24">
        <v>84500</v>
      </c>
      <c r="E12" s="24">
        <v>90000</v>
      </c>
      <c r="F12" s="22">
        <v>66</v>
      </c>
      <c r="G12" s="22"/>
      <c r="H12" s="65">
        <f>Table241718[STOK]-Table241718[TERJUAL]</f>
        <v>66</v>
      </c>
      <c r="I12" s="21">
        <f>(Table241718[HRGA JUAL]*Table241718[TERJUAL])-(Table241718[HARGA POKOK]*Table241718[TERJUAL])</f>
        <v>0</v>
      </c>
      <c r="J12" s="24">
        <f>(Table241718[HRGA JUAL]*Table241718[TERJUAL])</f>
        <v>0</v>
      </c>
      <c r="K12" s="24">
        <f>Table241718[HRGA JUAL]*Table241718[SISA]</f>
        <v>5940000</v>
      </c>
      <c r="L12" s="64">
        <f>Table241718[HARGA POKOK]*Table241718[STOK]</f>
        <v>5577000</v>
      </c>
      <c r="M12" s="64">
        <f>Table241718[HRGA JUAL]*Table241718[STOK]</f>
        <v>5940000</v>
      </c>
    </row>
    <row r="13" spans="1:14" x14ac:dyDescent="0.25">
      <c r="A13" s="18">
        <v>9</v>
      </c>
      <c r="B13" s="278" t="s">
        <v>28</v>
      </c>
      <c r="C13" s="19" t="s">
        <v>11</v>
      </c>
      <c r="D13" s="21">
        <v>158000</v>
      </c>
      <c r="E13" s="21">
        <v>180000</v>
      </c>
      <c r="F13" s="18">
        <v>21</v>
      </c>
      <c r="G13" s="18">
        <v>3</v>
      </c>
      <c r="H13" s="63">
        <f>Table241718[STOK]-Table241718[TERJUAL]</f>
        <v>18</v>
      </c>
      <c r="I13" s="21">
        <f>(Table241718[HRGA JUAL]*Table241718[TERJUAL])-(Table241718[HARGA POKOK]*Table241718[TERJUAL])</f>
        <v>66000</v>
      </c>
      <c r="J13" s="21">
        <f>(Table241718[HRGA JUAL]*Table241718[TERJUAL])</f>
        <v>540000</v>
      </c>
      <c r="K13" s="21">
        <f>Table241718[HRGA JUAL]*Table241718[SISA]</f>
        <v>3240000</v>
      </c>
      <c r="L13" s="64">
        <f>Table241718[HARGA POKOK]*Table241718[STOK]</f>
        <v>3318000</v>
      </c>
      <c r="M13" s="64">
        <f>Table241718[HRGA JUAL]*Table241718[STOK]</f>
        <v>3780000</v>
      </c>
    </row>
    <row r="14" spans="1:14" x14ac:dyDescent="0.25">
      <c r="A14" s="22">
        <v>10</v>
      </c>
      <c r="B14" s="278" t="s">
        <v>28</v>
      </c>
      <c r="C14" s="19" t="s">
        <v>12</v>
      </c>
      <c r="D14" s="21">
        <v>133000</v>
      </c>
      <c r="E14" s="21">
        <v>165000</v>
      </c>
      <c r="F14" s="18">
        <v>90</v>
      </c>
      <c r="G14" s="18">
        <v>2</v>
      </c>
      <c r="H14" s="63">
        <f>Table241718[STOK]-Table241718[TERJUAL]</f>
        <v>88</v>
      </c>
      <c r="I14" s="21">
        <f>(Table241718[HRGA JUAL]*Table241718[TERJUAL])-(Table241718[HARGA POKOK]*Table241718[TERJUAL])</f>
        <v>64000</v>
      </c>
      <c r="J14" s="21">
        <f>(Table241718[HRGA JUAL]*Table241718[TERJUAL])</f>
        <v>330000</v>
      </c>
      <c r="K14" s="21">
        <f>Table241718[HRGA JUAL]*Table241718[SISA]</f>
        <v>14520000</v>
      </c>
      <c r="L14" s="64">
        <f>Table241718[HARGA POKOK]*Table241718[STOK]</f>
        <v>11970000</v>
      </c>
      <c r="M14" s="64">
        <f>Table241718[HRGA JUAL]*Table241718[STOK]</f>
        <v>14850000</v>
      </c>
    </row>
    <row r="15" spans="1:14" x14ac:dyDescent="0.25">
      <c r="A15" s="18">
        <v>11</v>
      </c>
      <c r="B15" s="278" t="s">
        <v>28</v>
      </c>
      <c r="C15" s="19" t="s">
        <v>39</v>
      </c>
      <c r="D15" s="21">
        <v>29500</v>
      </c>
      <c r="E15" s="21">
        <v>40000</v>
      </c>
      <c r="F15" s="18">
        <v>31</v>
      </c>
      <c r="G15" s="18">
        <v>11</v>
      </c>
      <c r="H15" s="63">
        <f>Table241718[STOK]-Table241718[TERJUAL]</f>
        <v>20</v>
      </c>
      <c r="I15" s="21">
        <f>(Table241718[HRGA JUAL]*Table241718[TERJUAL])-(Table241718[HARGA POKOK]*Table241718[TERJUAL])</f>
        <v>115500</v>
      </c>
      <c r="J15" s="21">
        <f>(Table241718[HRGA JUAL]*Table241718[TERJUAL])</f>
        <v>440000</v>
      </c>
      <c r="K15" s="21">
        <f>Table241718[HRGA JUAL]*Table241718[SISA]</f>
        <v>800000</v>
      </c>
      <c r="L15" s="64">
        <f>Table241718[HARGA POKOK]*Table241718[STOK]</f>
        <v>914500</v>
      </c>
      <c r="M15" s="64">
        <f>Table241718[HRGA JUAL]*Table241718[STOK]</f>
        <v>1240000</v>
      </c>
    </row>
    <row r="16" spans="1:14" x14ac:dyDescent="0.25">
      <c r="A16" s="22">
        <v>12</v>
      </c>
      <c r="B16" s="278" t="s">
        <v>28</v>
      </c>
      <c r="C16" s="19" t="s">
        <v>47</v>
      </c>
      <c r="D16" s="21">
        <v>66000</v>
      </c>
      <c r="E16" s="21">
        <v>85000</v>
      </c>
      <c r="F16" s="18">
        <v>70</v>
      </c>
      <c r="H16" s="63">
        <f>Table241718[STOK]-Table241718[TERJUAL]</f>
        <v>70</v>
      </c>
      <c r="I16" s="21">
        <f>(Table241718[HRGA JUAL]*Table241718[TERJUAL])-(Table241718[HARGA POKOK]*Table241718[TERJUAL])</f>
        <v>0</v>
      </c>
      <c r="J16" s="21">
        <f>(Table241718[HRGA JUAL]*Table241718[TERJUAL])</f>
        <v>0</v>
      </c>
      <c r="K16" s="21">
        <f>Table241718[HRGA JUAL]*Table241718[SISA]</f>
        <v>5950000</v>
      </c>
      <c r="L16" s="64">
        <f>Table241718[HARGA POKOK]*Table241718[STOK]</f>
        <v>4620000</v>
      </c>
      <c r="M16" s="64">
        <f>Table241718[HRGA JUAL]*Table241718[STOK]</f>
        <v>5950000</v>
      </c>
    </row>
    <row r="17" spans="1:13" x14ac:dyDescent="0.25">
      <c r="A17" s="18">
        <v>13</v>
      </c>
      <c r="B17" s="278" t="s">
        <v>28</v>
      </c>
      <c r="C17" s="19" t="s">
        <v>48</v>
      </c>
      <c r="D17" s="21">
        <v>22500</v>
      </c>
      <c r="E17" s="21">
        <v>33000</v>
      </c>
      <c r="F17" s="18">
        <v>400</v>
      </c>
      <c r="H17" s="63">
        <f>Table241718[STOK]-Table241718[TERJUAL]</f>
        <v>400</v>
      </c>
      <c r="I17" s="21">
        <f>(Table241718[HRGA JUAL]*Table241718[TERJUAL])-(Table241718[HARGA POKOK]*Table241718[TERJUAL])</f>
        <v>0</v>
      </c>
      <c r="J17" s="21">
        <f>(Table241718[HRGA JUAL]*Table241718[TERJUAL])</f>
        <v>0</v>
      </c>
      <c r="K17" s="21">
        <f>Table241718[HRGA JUAL]*Table241718[SISA]</f>
        <v>13200000</v>
      </c>
      <c r="L17" s="64">
        <f>Table241718[HARGA POKOK]*Table241718[STOK]</f>
        <v>9000000</v>
      </c>
      <c r="M17" s="64">
        <f>Table241718[HRGA JUAL]*Table241718[STOK]</f>
        <v>13200000</v>
      </c>
    </row>
    <row r="18" spans="1:13" x14ac:dyDescent="0.25">
      <c r="A18" s="22">
        <v>14</v>
      </c>
      <c r="B18" s="278" t="s">
        <v>28</v>
      </c>
      <c r="C18" s="19" t="s">
        <v>49</v>
      </c>
      <c r="D18" s="21">
        <v>56000</v>
      </c>
      <c r="E18" s="21">
        <v>80000</v>
      </c>
      <c r="F18" s="18">
        <v>93</v>
      </c>
      <c r="H18" s="63">
        <f>Table241718[STOK]-Table241718[TERJUAL]</f>
        <v>93</v>
      </c>
      <c r="I18" s="21">
        <f>(Table241718[HRGA JUAL]*Table241718[TERJUAL])-(Table241718[HARGA POKOK]*Table241718[TERJUAL])</f>
        <v>0</v>
      </c>
      <c r="J18" s="21">
        <f>(Table241718[HRGA JUAL]*Table241718[TERJUAL])</f>
        <v>0</v>
      </c>
      <c r="K18" s="21">
        <f>Table241718[HRGA JUAL]*Table241718[SISA]</f>
        <v>7440000</v>
      </c>
      <c r="L18" s="64">
        <f>Table241718[HARGA POKOK]*Table241718[STOK]</f>
        <v>5208000</v>
      </c>
      <c r="M18" s="64">
        <f>Table241718[HRGA JUAL]*Table241718[STOK]</f>
        <v>7440000</v>
      </c>
    </row>
    <row r="19" spans="1:13" x14ac:dyDescent="0.25">
      <c r="A19" s="18">
        <v>15</v>
      </c>
      <c r="B19" s="278" t="s">
        <v>28</v>
      </c>
      <c r="C19" s="19" t="s">
        <v>50</v>
      </c>
      <c r="D19" s="21">
        <v>40000</v>
      </c>
      <c r="E19" s="21">
        <v>60000</v>
      </c>
      <c r="F19" s="18">
        <v>35</v>
      </c>
      <c r="G19" s="18">
        <v>2</v>
      </c>
      <c r="H19" s="63">
        <f>Table241718[STOK]-Table241718[TERJUAL]</f>
        <v>33</v>
      </c>
      <c r="I19" s="21">
        <f>(Table241718[HRGA JUAL]*Table241718[TERJUAL])-(Table241718[HARGA POKOK]*Table241718[TERJUAL])</f>
        <v>40000</v>
      </c>
      <c r="J19" s="21">
        <f>(Table241718[HRGA JUAL]*Table241718[TERJUAL])</f>
        <v>120000</v>
      </c>
      <c r="K19" s="21">
        <f>Table241718[HRGA JUAL]*Table241718[SISA]</f>
        <v>1980000</v>
      </c>
      <c r="L19" s="64">
        <f>Table241718[HARGA POKOK]*Table241718[STOK]</f>
        <v>1400000</v>
      </c>
      <c r="M19" s="64">
        <f>Table241718[HRGA JUAL]*Table241718[STOK]</f>
        <v>2100000</v>
      </c>
    </row>
    <row r="20" spans="1:13" x14ac:dyDescent="0.25">
      <c r="A20" s="22">
        <v>16</v>
      </c>
      <c r="B20" s="278" t="s">
        <v>28</v>
      </c>
      <c r="C20" s="19" t="s">
        <v>51</v>
      </c>
      <c r="D20" s="21">
        <v>60000</v>
      </c>
      <c r="E20" s="21">
        <v>85000</v>
      </c>
      <c r="F20" s="18">
        <v>80</v>
      </c>
      <c r="H20" s="63">
        <f>Table241718[STOK]-Table241718[TERJUAL]</f>
        <v>80</v>
      </c>
      <c r="I20" s="21">
        <f>(Table241718[HRGA JUAL]*Table241718[TERJUAL])-(Table241718[HARGA POKOK]*Table241718[TERJUAL])</f>
        <v>0</v>
      </c>
      <c r="J20" s="21">
        <f>(Table241718[HRGA JUAL]*Table241718[TERJUAL])</f>
        <v>0</v>
      </c>
      <c r="K20" s="21">
        <f>Table241718[HRGA JUAL]*Table241718[SISA]</f>
        <v>6800000</v>
      </c>
      <c r="L20" s="64">
        <f>Table241718[HARGA POKOK]*Table241718[STOK]</f>
        <v>4800000</v>
      </c>
      <c r="M20" s="64">
        <f>Table241718[HRGA JUAL]*Table241718[STOK]</f>
        <v>6800000</v>
      </c>
    </row>
    <row r="21" spans="1:13" x14ac:dyDescent="0.25">
      <c r="A21" s="18">
        <v>17</v>
      </c>
      <c r="B21" s="278" t="s">
        <v>28</v>
      </c>
      <c r="C21" s="19" t="s">
        <v>52</v>
      </c>
      <c r="D21" s="21">
        <v>30000</v>
      </c>
      <c r="E21" s="21">
        <v>45000</v>
      </c>
      <c r="F21" s="18">
        <v>100</v>
      </c>
      <c r="H21" s="63">
        <f>Table241718[STOK]-Table241718[TERJUAL]</f>
        <v>100</v>
      </c>
      <c r="I21" s="21">
        <f>(Table241718[HRGA JUAL]*Table241718[TERJUAL])-(Table241718[HARGA POKOK]*Table241718[TERJUAL])</f>
        <v>0</v>
      </c>
      <c r="J21" s="21">
        <f>(Table241718[HRGA JUAL]*Table241718[TERJUAL])</f>
        <v>0</v>
      </c>
      <c r="K21" s="21">
        <f>Table241718[HRGA JUAL]*Table241718[SISA]</f>
        <v>4500000</v>
      </c>
      <c r="L21" s="64">
        <f>Table241718[HARGA POKOK]*Table241718[STOK]</f>
        <v>3000000</v>
      </c>
      <c r="M21" s="64">
        <f>Table241718[HRGA JUAL]*Table241718[STOK]</f>
        <v>4500000</v>
      </c>
    </row>
    <row r="22" spans="1:13" x14ac:dyDescent="0.25">
      <c r="A22" s="22">
        <v>18</v>
      </c>
      <c r="B22" s="278" t="s">
        <v>28</v>
      </c>
      <c r="C22" s="19" t="s">
        <v>53</v>
      </c>
      <c r="D22" s="21">
        <v>2500</v>
      </c>
      <c r="E22" s="21">
        <v>5000</v>
      </c>
      <c r="F22" s="18">
        <v>20</v>
      </c>
      <c r="H22" s="63">
        <f>Table241718[STOK]-Table241718[TERJUAL]</f>
        <v>20</v>
      </c>
      <c r="I22" s="21">
        <f>(Table241718[HRGA JUAL]*Table241718[TERJUAL])-(Table241718[HARGA POKOK]*Table241718[TERJUAL])</f>
        <v>0</v>
      </c>
      <c r="J22" s="21">
        <f>(Table241718[HRGA JUAL]*Table241718[TERJUAL])</f>
        <v>0</v>
      </c>
      <c r="K22" s="21">
        <f>Table241718[HRGA JUAL]*Table241718[SISA]</f>
        <v>100000</v>
      </c>
      <c r="L22" s="64">
        <f>Table241718[HARGA POKOK]*Table241718[STOK]</f>
        <v>50000</v>
      </c>
      <c r="M22" s="64">
        <f>Table241718[HRGA JUAL]*Table241718[STOK]</f>
        <v>100000</v>
      </c>
    </row>
    <row r="23" spans="1:13" x14ac:dyDescent="0.25">
      <c r="A23" s="18">
        <v>19</v>
      </c>
      <c r="B23" s="19" t="s">
        <v>29</v>
      </c>
      <c r="C23" s="19" t="s">
        <v>54</v>
      </c>
      <c r="D23" s="21">
        <v>47500</v>
      </c>
      <c r="E23" s="21">
        <v>60000</v>
      </c>
      <c r="F23" s="18">
        <v>100</v>
      </c>
      <c r="H23" s="63">
        <f>Table241718[STOK]-Table241718[TERJUAL]</f>
        <v>100</v>
      </c>
      <c r="I23" s="21">
        <f>(Table241718[HRGA JUAL]*Table241718[TERJUAL])-(Table241718[HARGA POKOK]*Table241718[TERJUAL])</f>
        <v>0</v>
      </c>
      <c r="J23" s="21">
        <f>(Table241718[HRGA JUAL]*Table241718[TERJUAL])</f>
        <v>0</v>
      </c>
      <c r="K23" s="21">
        <f>Table241718[HRGA JUAL]*Table241718[SISA]</f>
        <v>6000000</v>
      </c>
      <c r="L23" s="64">
        <f>Table241718[HARGA POKOK]*Table241718[STOK]</f>
        <v>4750000</v>
      </c>
      <c r="M23" s="64">
        <f>Table241718[HRGA JUAL]*Table241718[STOK]</f>
        <v>6000000</v>
      </c>
    </row>
    <row r="24" spans="1:13" x14ac:dyDescent="0.25">
      <c r="A24" s="22">
        <v>20</v>
      </c>
      <c r="B24" s="19" t="s">
        <v>29</v>
      </c>
      <c r="C24" s="19" t="s">
        <v>55</v>
      </c>
      <c r="D24" s="21">
        <v>133500</v>
      </c>
      <c r="E24" s="21">
        <v>143000</v>
      </c>
      <c r="F24" s="18">
        <v>20</v>
      </c>
      <c r="G24" s="18">
        <v>1</v>
      </c>
      <c r="H24" s="63">
        <f>Table241718[STOK]-Table241718[TERJUAL]</f>
        <v>19</v>
      </c>
      <c r="I24" s="21">
        <f>(Table241718[HRGA JUAL]*Table241718[TERJUAL])-(Table241718[HARGA POKOK]*Table241718[TERJUAL])</f>
        <v>9500</v>
      </c>
      <c r="J24" s="21">
        <f>(Table241718[HRGA JUAL]*Table241718[TERJUAL])</f>
        <v>143000</v>
      </c>
      <c r="K24" s="21">
        <f>Table241718[HRGA JUAL]*Table241718[SISA]</f>
        <v>2717000</v>
      </c>
      <c r="L24" s="64">
        <f>Table241718[HARGA POKOK]*Table241718[STOK]</f>
        <v>2670000</v>
      </c>
      <c r="M24" s="64">
        <f>Table241718[HRGA JUAL]*Table241718[STOK]</f>
        <v>2860000</v>
      </c>
    </row>
    <row r="25" spans="1:13" x14ac:dyDescent="0.25">
      <c r="A25" s="18">
        <v>21</v>
      </c>
      <c r="B25" s="19" t="s">
        <v>29</v>
      </c>
      <c r="C25" s="278" t="s">
        <v>56</v>
      </c>
      <c r="D25" s="24">
        <v>77500</v>
      </c>
      <c r="E25" s="24">
        <v>120000</v>
      </c>
      <c r="F25" s="22">
        <v>50</v>
      </c>
      <c r="G25" s="22"/>
      <c r="H25" s="65">
        <f>Table241718[STOK]-Table241718[TERJUAL]</f>
        <v>50</v>
      </c>
      <c r="I25" s="21">
        <f>(Table241718[HRGA JUAL]*Table241718[TERJUAL])-(Table241718[HARGA POKOK]*Table241718[TERJUAL])</f>
        <v>0</v>
      </c>
      <c r="J25" s="24">
        <f>(Table241718[HRGA JUAL]*Table241718[TERJUAL])</f>
        <v>0</v>
      </c>
      <c r="K25" s="24">
        <f>Table241718[HRGA JUAL]*Table241718[SISA]</f>
        <v>6000000</v>
      </c>
      <c r="L25" s="64">
        <f>Table241718[HARGA POKOK]*Table241718[STOK]</f>
        <v>3875000</v>
      </c>
      <c r="M25" s="64">
        <f>Table241718[HRGA JUAL]*Table241718[STOK]</f>
        <v>6000000</v>
      </c>
    </row>
    <row r="26" spans="1:13" x14ac:dyDescent="0.25">
      <c r="A26" s="18"/>
      <c r="B26" s="19" t="s">
        <v>29</v>
      </c>
      <c r="C26" s="278" t="s">
        <v>314</v>
      </c>
      <c r="D26" s="24">
        <v>85000</v>
      </c>
      <c r="E26" s="24">
        <v>100000</v>
      </c>
      <c r="F26" s="22">
        <v>45</v>
      </c>
      <c r="G26" s="22">
        <v>45</v>
      </c>
      <c r="H26" s="65">
        <f>Table241718[STOK]-Table241718[TERJUAL]</f>
        <v>0</v>
      </c>
      <c r="I26" s="21">
        <f>(Table241718[HRGA JUAL]*Table241718[TERJUAL])-(Table241718[HARGA POKOK]*Table241718[TERJUAL])</f>
        <v>675000</v>
      </c>
      <c r="J26" s="24">
        <f>(Table241718[HRGA JUAL]*Table241718[TERJUAL])</f>
        <v>4500000</v>
      </c>
      <c r="K26" s="24">
        <f>Table241718[HRGA JUAL]*Table241718[SISA]</f>
        <v>0</v>
      </c>
      <c r="L26" s="64">
        <f>Table241718[HARGA POKOK]*Table241718[STOK]</f>
        <v>3825000</v>
      </c>
      <c r="M26" s="64">
        <f>Table241718[HRGA JUAL]*Table241718[STOK]</f>
        <v>4500000</v>
      </c>
    </row>
    <row r="27" spans="1:13" x14ac:dyDescent="0.25">
      <c r="A27" s="22">
        <v>22</v>
      </c>
      <c r="B27" s="19" t="s">
        <v>29</v>
      </c>
      <c r="C27" s="19" t="s">
        <v>57</v>
      </c>
      <c r="D27" s="21">
        <v>165000</v>
      </c>
      <c r="E27" s="21">
        <v>210000</v>
      </c>
      <c r="F27" s="18">
        <v>40</v>
      </c>
      <c r="H27" s="63">
        <f>Table241718[STOK]-Table241718[TERJUAL]</f>
        <v>40</v>
      </c>
      <c r="I27" s="21">
        <f>(Table241718[HRGA JUAL]*Table241718[TERJUAL])-(Table241718[HARGA POKOK]*Table241718[TERJUAL])</f>
        <v>0</v>
      </c>
      <c r="J27" s="21">
        <f>(Table241718[HRGA JUAL]*Table241718[TERJUAL])</f>
        <v>0</v>
      </c>
      <c r="K27" s="21">
        <f>Table241718[HRGA JUAL]*Table241718[SISA]</f>
        <v>8400000</v>
      </c>
      <c r="L27" s="64">
        <f>Table241718[HARGA POKOK]*Table241718[STOK]</f>
        <v>6600000</v>
      </c>
      <c r="M27" s="64">
        <f>Table241718[HRGA JUAL]*Table241718[STOK]</f>
        <v>8400000</v>
      </c>
    </row>
    <row r="28" spans="1:13" x14ac:dyDescent="0.25">
      <c r="A28" s="18">
        <v>23</v>
      </c>
      <c r="B28" s="19" t="s">
        <v>30</v>
      </c>
      <c r="C28" s="19" t="s">
        <v>58</v>
      </c>
      <c r="D28" s="21">
        <v>10000</v>
      </c>
      <c r="E28" s="21">
        <v>18000</v>
      </c>
      <c r="F28" s="18">
        <v>90</v>
      </c>
      <c r="H28" s="63">
        <f>Table241718[STOK]-Table241718[TERJUAL]</f>
        <v>90</v>
      </c>
      <c r="I28" s="21">
        <f>(Table241718[HRGA JUAL]*Table241718[TERJUAL])-(Table241718[HARGA POKOK]*Table241718[TERJUAL])</f>
        <v>0</v>
      </c>
      <c r="J28" s="21">
        <f>(Table241718[HRGA JUAL]*Table241718[TERJUAL])</f>
        <v>0</v>
      </c>
      <c r="K28" s="21">
        <f>Table241718[HRGA JUAL]*Table241718[SISA]</f>
        <v>1620000</v>
      </c>
      <c r="L28" s="64">
        <f>Table241718[HARGA POKOK]*Table241718[STOK]</f>
        <v>900000</v>
      </c>
      <c r="M28" s="64">
        <f>Table241718[HRGA JUAL]*Table241718[STOK]</f>
        <v>1620000</v>
      </c>
    </row>
    <row r="29" spans="1:13" x14ac:dyDescent="0.25">
      <c r="A29" s="22">
        <v>24</v>
      </c>
      <c r="B29" s="19" t="s">
        <v>30</v>
      </c>
      <c r="C29" s="19" t="s">
        <v>59</v>
      </c>
      <c r="D29" s="21">
        <v>27500</v>
      </c>
      <c r="E29" s="21">
        <v>45000</v>
      </c>
      <c r="F29" s="18">
        <v>40</v>
      </c>
      <c r="H29" s="63">
        <f>Table241718[STOK]-Table241718[TERJUAL]</f>
        <v>40</v>
      </c>
      <c r="I29" s="21">
        <f>(Table241718[HRGA JUAL]*Table241718[TERJUAL])-(Table241718[HARGA POKOK]*Table241718[TERJUAL])</f>
        <v>0</v>
      </c>
      <c r="J29" s="21">
        <f>(Table241718[HRGA JUAL]*Table241718[TERJUAL])</f>
        <v>0</v>
      </c>
      <c r="K29" s="21">
        <f>Table241718[HRGA JUAL]*Table241718[SISA]</f>
        <v>1800000</v>
      </c>
      <c r="L29" s="64">
        <f>Table241718[HARGA POKOK]*Table241718[STOK]</f>
        <v>1100000</v>
      </c>
      <c r="M29" s="64">
        <f>Table241718[HRGA JUAL]*Table241718[STOK]</f>
        <v>1800000</v>
      </c>
    </row>
    <row r="30" spans="1:13" x14ac:dyDescent="0.25">
      <c r="A30" s="18">
        <v>25</v>
      </c>
      <c r="B30" s="19" t="s">
        <v>30</v>
      </c>
      <c r="C30" s="19" t="s">
        <v>60</v>
      </c>
      <c r="D30" s="21">
        <v>12500</v>
      </c>
      <c r="E30" s="21">
        <v>16000</v>
      </c>
      <c r="F30" s="18">
        <v>72</v>
      </c>
      <c r="G30" s="18">
        <v>17</v>
      </c>
      <c r="H30" s="63">
        <f>Table241718[STOK]-Table241718[TERJUAL]</f>
        <v>55</v>
      </c>
      <c r="I30" s="21">
        <f>(Table241718[HRGA JUAL]*Table241718[TERJUAL])-(Table241718[HARGA POKOK]*Table241718[TERJUAL])</f>
        <v>59500</v>
      </c>
      <c r="J30" s="21">
        <f>(Table241718[HRGA JUAL]*Table241718[TERJUAL])</f>
        <v>272000</v>
      </c>
      <c r="K30" s="21">
        <f>Table241718[HRGA JUAL]*Table241718[SISA]</f>
        <v>880000</v>
      </c>
      <c r="L30" s="64">
        <f>Table241718[HARGA POKOK]*Table241718[STOK]</f>
        <v>900000</v>
      </c>
      <c r="M30" s="64">
        <f>Table241718[HRGA JUAL]*Table241718[STOK]</f>
        <v>1152000</v>
      </c>
    </row>
    <row r="31" spans="1:13" x14ac:dyDescent="0.25">
      <c r="A31" s="22">
        <v>26</v>
      </c>
      <c r="B31" s="19" t="s">
        <v>30</v>
      </c>
      <c r="C31" s="19" t="s">
        <v>13</v>
      </c>
      <c r="D31" s="21">
        <v>33500</v>
      </c>
      <c r="E31" s="21">
        <v>50000</v>
      </c>
      <c r="F31" s="18">
        <v>48</v>
      </c>
      <c r="H31" s="63">
        <f>Table241718[STOK]-Table241718[TERJUAL]</f>
        <v>48</v>
      </c>
      <c r="I31" s="21">
        <f>(Table241718[HRGA JUAL]*Table241718[TERJUAL])-(Table241718[HARGA POKOK]*Table241718[TERJUAL])</f>
        <v>0</v>
      </c>
      <c r="J31" s="21">
        <f>(Table241718[HRGA JUAL]*Table241718[TERJUAL])</f>
        <v>0</v>
      </c>
      <c r="K31" s="21">
        <f>Table241718[HRGA JUAL]*Table241718[SISA]</f>
        <v>2400000</v>
      </c>
      <c r="L31" s="64">
        <f>Table241718[HARGA POKOK]*Table241718[STOK]</f>
        <v>1608000</v>
      </c>
      <c r="M31" s="64">
        <f>Table241718[HRGA JUAL]*Table241718[STOK]</f>
        <v>2400000</v>
      </c>
    </row>
    <row r="32" spans="1:13" x14ac:dyDescent="0.25">
      <c r="A32" s="18">
        <v>27</v>
      </c>
      <c r="B32" s="19" t="s">
        <v>30</v>
      </c>
      <c r="C32" s="19" t="s">
        <v>14</v>
      </c>
      <c r="D32" s="21">
        <v>8500</v>
      </c>
      <c r="E32" s="21">
        <v>12000</v>
      </c>
      <c r="F32" s="18">
        <v>288</v>
      </c>
      <c r="H32" s="63">
        <f>Table241718[STOK]-Table241718[TERJUAL]</f>
        <v>288</v>
      </c>
      <c r="I32" s="21">
        <f>(Table241718[HRGA JUAL]*Table241718[TERJUAL])-(Table241718[HARGA POKOK]*Table241718[TERJUAL])</f>
        <v>0</v>
      </c>
      <c r="J32" s="21">
        <f>(Table241718[HRGA JUAL]*Table241718[TERJUAL])</f>
        <v>0</v>
      </c>
      <c r="K32" s="21">
        <f>Table241718[HRGA JUAL]*Table241718[SISA]</f>
        <v>3456000</v>
      </c>
      <c r="L32" s="64">
        <f>Table241718[HARGA POKOK]*Table241718[STOK]</f>
        <v>2448000</v>
      </c>
      <c r="M32" s="64">
        <f>Table241718[HRGA JUAL]*Table241718[STOK]</f>
        <v>3456000</v>
      </c>
    </row>
    <row r="33" spans="1:13" x14ac:dyDescent="0.25">
      <c r="A33" s="22">
        <v>28</v>
      </c>
      <c r="B33" s="19" t="s">
        <v>30</v>
      </c>
      <c r="C33" s="19" t="s">
        <v>15</v>
      </c>
      <c r="D33" s="21">
        <v>30500</v>
      </c>
      <c r="E33" s="21">
        <v>45000</v>
      </c>
      <c r="F33" s="18">
        <v>48</v>
      </c>
      <c r="H33" s="63">
        <f>Table241718[STOK]-Table241718[TERJUAL]</f>
        <v>48</v>
      </c>
      <c r="I33" s="21">
        <f>(Table241718[HRGA JUAL]*Table241718[TERJUAL])-(Table241718[HARGA POKOK]*Table241718[TERJUAL])</f>
        <v>0</v>
      </c>
      <c r="J33" s="21">
        <f>(Table241718[HRGA JUAL]*Table241718[TERJUAL])</f>
        <v>0</v>
      </c>
      <c r="K33" s="21">
        <f>Table241718[HRGA JUAL]*Table241718[SISA]</f>
        <v>2160000</v>
      </c>
      <c r="L33" s="64">
        <f>Table241718[HARGA POKOK]*Table241718[STOK]</f>
        <v>1464000</v>
      </c>
      <c r="M33" s="64">
        <f>Table241718[HRGA JUAL]*Table241718[STOK]</f>
        <v>2160000</v>
      </c>
    </row>
    <row r="34" spans="1:13" x14ac:dyDescent="0.25">
      <c r="A34" s="18">
        <v>29</v>
      </c>
      <c r="B34" s="19" t="s">
        <v>30</v>
      </c>
      <c r="C34" s="19" t="s">
        <v>16</v>
      </c>
      <c r="D34" s="21">
        <v>7500</v>
      </c>
      <c r="E34" s="21">
        <v>10000</v>
      </c>
      <c r="F34" s="18">
        <v>288</v>
      </c>
      <c r="H34" s="63">
        <f>Table241718[STOK]-Table241718[TERJUAL]</f>
        <v>288</v>
      </c>
      <c r="I34" s="21">
        <f>(Table241718[HRGA JUAL]*Table241718[TERJUAL])-(Table241718[HARGA POKOK]*Table241718[TERJUAL])</f>
        <v>0</v>
      </c>
      <c r="J34" s="21">
        <f>(Table241718[HRGA JUAL]*Table241718[TERJUAL])</f>
        <v>0</v>
      </c>
      <c r="K34" s="21">
        <f>Table241718[HRGA JUAL]*Table241718[SISA]</f>
        <v>2880000</v>
      </c>
      <c r="L34" s="64">
        <f>Table241718[HARGA POKOK]*Table241718[STOK]</f>
        <v>2160000</v>
      </c>
      <c r="M34" s="64">
        <f>Table241718[HRGA JUAL]*Table241718[STOK]</f>
        <v>2880000</v>
      </c>
    </row>
    <row r="35" spans="1:13" x14ac:dyDescent="0.25">
      <c r="A35" s="22">
        <v>30</v>
      </c>
      <c r="B35" s="19" t="s">
        <v>35</v>
      </c>
      <c r="C35" s="19" t="s">
        <v>36</v>
      </c>
      <c r="D35" s="21">
        <v>51500</v>
      </c>
      <c r="E35" s="21">
        <v>65000</v>
      </c>
      <c r="F35" s="18">
        <v>20</v>
      </c>
      <c r="G35" s="18">
        <v>3</v>
      </c>
      <c r="H35" s="63">
        <f>Table241718[STOK]-Table241718[TERJUAL]</f>
        <v>17</v>
      </c>
      <c r="I35" s="21">
        <f>(Table241718[HRGA JUAL]*Table241718[TERJUAL])-(Table241718[HARGA POKOK]*Table241718[TERJUAL])</f>
        <v>40500</v>
      </c>
      <c r="J35" s="21">
        <f>(Table241718[HRGA JUAL]*Table241718[TERJUAL])</f>
        <v>195000</v>
      </c>
      <c r="K35" s="21">
        <f>Table241718[HRGA JUAL]*Table241718[SISA]</f>
        <v>1105000</v>
      </c>
      <c r="L35" s="64">
        <f>Table241718[HARGA POKOK]*Table241718[STOK]</f>
        <v>1030000</v>
      </c>
      <c r="M35" s="64">
        <f>Table241718[HRGA JUAL]*Table241718[STOK]</f>
        <v>1300000</v>
      </c>
    </row>
    <row r="36" spans="1:13" x14ac:dyDescent="0.25">
      <c r="A36" s="18">
        <v>31</v>
      </c>
      <c r="B36" s="19" t="s">
        <v>31</v>
      </c>
      <c r="C36" s="19" t="s">
        <v>61</v>
      </c>
      <c r="D36" s="21">
        <v>20000</v>
      </c>
      <c r="E36" s="21">
        <v>30000</v>
      </c>
      <c r="F36" s="18">
        <v>60</v>
      </c>
      <c r="G36" s="18">
        <v>2</v>
      </c>
      <c r="H36" s="63">
        <f>Table241718[STOK]-Table241718[TERJUAL]</f>
        <v>58</v>
      </c>
      <c r="I36" s="21">
        <f>(Table241718[HRGA JUAL]*Table241718[TERJUAL])-(Table241718[HARGA POKOK]*Table241718[TERJUAL])</f>
        <v>20000</v>
      </c>
      <c r="J36" s="21">
        <f>(Table241718[HRGA JUAL]*Table241718[TERJUAL])</f>
        <v>60000</v>
      </c>
      <c r="K36" s="21">
        <f>Table241718[HRGA JUAL]*Table241718[SISA]</f>
        <v>1740000</v>
      </c>
      <c r="L36" s="64">
        <f>Table241718[HARGA POKOK]*Table241718[STOK]</f>
        <v>1200000</v>
      </c>
      <c r="M36" s="64">
        <f>Table241718[HRGA JUAL]*Table241718[STOK]</f>
        <v>1800000</v>
      </c>
    </row>
    <row r="37" spans="1:13" x14ac:dyDescent="0.25">
      <c r="A37" s="22">
        <v>32</v>
      </c>
      <c r="B37" s="19" t="s">
        <v>31</v>
      </c>
      <c r="C37" s="19" t="s">
        <v>62</v>
      </c>
      <c r="D37" s="21">
        <v>35000</v>
      </c>
      <c r="E37" s="21">
        <v>40000</v>
      </c>
      <c r="F37" s="18">
        <v>6</v>
      </c>
      <c r="G37" s="18">
        <v>1</v>
      </c>
      <c r="H37" s="63">
        <f>Table241718[STOK]-Table241718[TERJUAL]</f>
        <v>5</v>
      </c>
      <c r="I37" s="21">
        <f>(Table241718[HRGA JUAL]*Table241718[TERJUAL])-(Table241718[HARGA POKOK]*Table241718[TERJUAL])</f>
        <v>5000</v>
      </c>
      <c r="J37" s="21">
        <f>(Table241718[HRGA JUAL]*Table241718[TERJUAL])</f>
        <v>40000</v>
      </c>
      <c r="K37" s="21">
        <f>Table241718[HRGA JUAL]*Table241718[SISA]</f>
        <v>200000</v>
      </c>
      <c r="L37" s="64">
        <f>Table241718[HARGA POKOK]*Table241718[STOK]</f>
        <v>210000</v>
      </c>
      <c r="M37" s="64">
        <f>Table241718[HRGA JUAL]*Table241718[STOK]</f>
        <v>240000</v>
      </c>
    </row>
    <row r="38" spans="1:13" x14ac:dyDescent="0.25">
      <c r="A38" s="18">
        <v>33</v>
      </c>
      <c r="B38" s="19" t="s">
        <v>31</v>
      </c>
      <c r="C38" s="19" t="s">
        <v>63</v>
      </c>
      <c r="D38" s="21">
        <v>35000</v>
      </c>
      <c r="E38" s="21">
        <v>40000</v>
      </c>
      <c r="F38" s="18">
        <v>3</v>
      </c>
      <c r="G38" s="18">
        <v>1</v>
      </c>
      <c r="H38" s="63">
        <f>Table241718[STOK]-Table241718[TERJUAL]</f>
        <v>2</v>
      </c>
      <c r="I38" s="21">
        <f>(Table241718[HRGA JUAL]*Table241718[TERJUAL])-(Table241718[HARGA POKOK]*Table241718[TERJUAL])</f>
        <v>5000</v>
      </c>
      <c r="J38" s="21">
        <f>(Table241718[HRGA JUAL]*Table241718[TERJUAL])</f>
        <v>40000</v>
      </c>
      <c r="K38" s="21">
        <f>Table241718[HRGA JUAL]*Table241718[SISA]</f>
        <v>80000</v>
      </c>
      <c r="L38" s="64">
        <f>Table241718[HARGA POKOK]*Table241718[STOK]</f>
        <v>105000</v>
      </c>
      <c r="M38" s="64">
        <f>Table241718[HRGA JUAL]*Table241718[STOK]</f>
        <v>120000</v>
      </c>
    </row>
    <row r="39" spans="1:13" x14ac:dyDescent="0.25">
      <c r="A39" s="22">
        <v>34</v>
      </c>
      <c r="B39" s="19" t="s">
        <v>31</v>
      </c>
      <c r="C39" s="19" t="s">
        <v>17</v>
      </c>
      <c r="D39" s="21">
        <v>35000</v>
      </c>
      <c r="E39" s="21">
        <v>40000</v>
      </c>
      <c r="F39" s="18">
        <v>2</v>
      </c>
      <c r="H39" s="63">
        <f>Table241718[STOK]-Table241718[TERJUAL]</f>
        <v>2</v>
      </c>
      <c r="I39" s="21">
        <f>(Table241718[HRGA JUAL]*Table241718[TERJUAL])-(Table241718[HARGA POKOK]*Table241718[TERJUAL])</f>
        <v>0</v>
      </c>
      <c r="J39" s="21">
        <f>(Table241718[HRGA JUAL]*Table241718[TERJUAL])</f>
        <v>0</v>
      </c>
      <c r="K39" s="21">
        <f>Table241718[HRGA JUAL]*Table241718[SISA]</f>
        <v>80000</v>
      </c>
      <c r="L39" s="64">
        <f>Table241718[HARGA POKOK]*Table241718[STOK]</f>
        <v>70000</v>
      </c>
      <c r="M39" s="64">
        <f>Table241718[HRGA JUAL]*Table241718[STOK]</f>
        <v>80000</v>
      </c>
    </row>
    <row r="40" spans="1:13" x14ac:dyDescent="0.25">
      <c r="A40" s="18">
        <v>35</v>
      </c>
      <c r="B40" s="19" t="s">
        <v>31</v>
      </c>
      <c r="C40" s="19" t="s">
        <v>64</v>
      </c>
      <c r="D40" s="21">
        <v>35000</v>
      </c>
      <c r="E40" s="21">
        <v>40000</v>
      </c>
      <c r="F40" s="18">
        <v>8</v>
      </c>
      <c r="G40" s="18">
        <v>1</v>
      </c>
      <c r="H40" s="63">
        <f>Table241718[STOK]-Table241718[TERJUAL]</f>
        <v>7</v>
      </c>
      <c r="I40" s="21">
        <f>(Table241718[HRGA JUAL]*Table241718[TERJUAL])-(Table241718[HARGA POKOK]*Table241718[TERJUAL])</f>
        <v>5000</v>
      </c>
      <c r="J40" s="21">
        <f>(Table241718[HRGA JUAL]*Table241718[TERJUAL])</f>
        <v>40000</v>
      </c>
      <c r="K40" s="21">
        <f>Table241718[HRGA JUAL]*Table241718[SISA]</f>
        <v>280000</v>
      </c>
      <c r="L40" s="64">
        <f>Table241718[HARGA POKOK]*Table241718[STOK]</f>
        <v>280000</v>
      </c>
      <c r="M40" s="64">
        <f>Table241718[HRGA JUAL]*Table241718[STOK]</f>
        <v>320000</v>
      </c>
    </row>
    <row r="41" spans="1:13" x14ac:dyDescent="0.25">
      <c r="A41" s="22">
        <v>36</v>
      </c>
      <c r="B41" s="19" t="s">
        <v>31</v>
      </c>
      <c r="C41" s="19" t="s">
        <v>65</v>
      </c>
      <c r="D41" s="21">
        <v>30000</v>
      </c>
      <c r="E41" s="21">
        <v>35000</v>
      </c>
      <c r="F41" s="18">
        <v>9</v>
      </c>
      <c r="G41" s="18">
        <v>1</v>
      </c>
      <c r="H41" s="63">
        <v>7</v>
      </c>
      <c r="I41" s="21">
        <f>(Table241718[HRGA JUAL]*Table241718[TERJUAL])-(Table241718[HARGA POKOK]*Table241718[TERJUAL])</f>
        <v>5000</v>
      </c>
      <c r="J41" s="21">
        <f>(Table241718[HRGA JUAL]*Table241718[TERJUAL])</f>
        <v>35000</v>
      </c>
      <c r="K41" s="21">
        <f>Table241718[HRGA JUAL]*Table241718[SISA]</f>
        <v>245000</v>
      </c>
      <c r="L41" s="64">
        <f>Table241718[HARGA POKOK]*Table241718[STOK]</f>
        <v>270000</v>
      </c>
      <c r="M41" s="64">
        <f>Table241718[HRGA JUAL]*Table241718[STOK]</f>
        <v>315000</v>
      </c>
    </row>
    <row r="42" spans="1:13" x14ac:dyDescent="0.25">
      <c r="A42" s="18">
        <v>37</v>
      </c>
      <c r="B42" s="19" t="s">
        <v>31</v>
      </c>
      <c r="C42" s="278" t="s">
        <v>66</v>
      </c>
      <c r="D42" s="24">
        <v>35000</v>
      </c>
      <c r="E42" s="24">
        <v>40000</v>
      </c>
      <c r="F42" s="22">
        <v>10</v>
      </c>
      <c r="G42" s="22"/>
      <c r="H42" s="65">
        <f>Table241718[STOK]-Table241718[TERJUAL]</f>
        <v>10</v>
      </c>
      <c r="I42" s="21">
        <f>(Table241718[HRGA JUAL]*Table241718[TERJUAL])-(Table241718[HARGA POKOK]*Table241718[TERJUAL])</f>
        <v>0</v>
      </c>
      <c r="J42" s="24">
        <f>(Table241718[HRGA JUAL]*Table241718[TERJUAL])</f>
        <v>0</v>
      </c>
      <c r="K42" s="24">
        <f>Table241718[HRGA JUAL]*Table241718[SISA]</f>
        <v>400000</v>
      </c>
      <c r="L42" s="64">
        <f>Table241718[HARGA POKOK]*Table241718[STOK]</f>
        <v>350000</v>
      </c>
      <c r="M42" s="64">
        <f>Table241718[HRGA JUAL]*Table241718[STOK]</f>
        <v>400000</v>
      </c>
    </row>
    <row r="43" spans="1:13" x14ac:dyDescent="0.25">
      <c r="A43" s="22">
        <v>38</v>
      </c>
      <c r="B43" s="19" t="s">
        <v>31</v>
      </c>
      <c r="C43" s="19" t="s">
        <v>67</v>
      </c>
      <c r="D43" s="21">
        <v>27500</v>
      </c>
      <c r="E43" s="21">
        <v>45000</v>
      </c>
      <c r="F43" s="18">
        <v>87</v>
      </c>
      <c r="H43" s="63">
        <f>Table241718[STOK]-Table241718[TERJUAL]</f>
        <v>87</v>
      </c>
      <c r="I43" s="21">
        <f>(Table241718[HRGA JUAL]*Table241718[TERJUAL])-(Table241718[HARGA POKOK]*Table241718[TERJUAL])</f>
        <v>0</v>
      </c>
      <c r="J43" s="21">
        <f>(Table241718[HRGA JUAL]*Table241718[TERJUAL])</f>
        <v>0</v>
      </c>
      <c r="K43" s="21">
        <f>Table241718[HRGA JUAL]*Table241718[SISA]</f>
        <v>3915000</v>
      </c>
      <c r="L43" s="64">
        <f>Table241718[HARGA POKOK]*Table241718[STOK]</f>
        <v>2392500</v>
      </c>
      <c r="M43" s="64">
        <f>Table241718[HRGA JUAL]*Table241718[STOK]</f>
        <v>3915000</v>
      </c>
    </row>
    <row r="44" spans="1:13" x14ac:dyDescent="0.25">
      <c r="A44" s="18">
        <v>39</v>
      </c>
      <c r="B44" s="19" t="s">
        <v>32</v>
      </c>
      <c r="C44" s="19" t="s">
        <v>18</v>
      </c>
      <c r="D44" s="21">
        <v>1700</v>
      </c>
      <c r="E44" s="21">
        <v>5000</v>
      </c>
      <c r="F44" s="18"/>
      <c r="H44" s="63">
        <f>Table241718[STOK]-Table241718[TERJUAL]</f>
        <v>0</v>
      </c>
      <c r="I44" s="21">
        <f>(Table241718[HRGA JUAL]*Table241718[TERJUAL])-(Table241718[HARGA POKOK]*Table241718[TERJUAL])</f>
        <v>0</v>
      </c>
      <c r="J44" s="21">
        <f>(Table241718[HRGA JUAL]*Table241718[TERJUAL])</f>
        <v>0</v>
      </c>
      <c r="K44" s="21">
        <f>Table241718[HRGA JUAL]*Table241718[SISA]</f>
        <v>0</v>
      </c>
      <c r="L44" s="64">
        <f>Table241718[HARGA POKOK]*Table241718[STOK]</f>
        <v>0</v>
      </c>
      <c r="M44" s="64">
        <f>Table241718[HRGA JUAL]*Table241718[STOK]</f>
        <v>0</v>
      </c>
    </row>
    <row r="45" spans="1:13" x14ac:dyDescent="0.25">
      <c r="A45" s="22">
        <v>40</v>
      </c>
      <c r="B45" s="19" t="s">
        <v>32</v>
      </c>
      <c r="C45" s="19" t="s">
        <v>21</v>
      </c>
      <c r="D45" s="21">
        <v>30500</v>
      </c>
      <c r="E45" s="21">
        <v>45000</v>
      </c>
      <c r="F45" s="18">
        <v>4</v>
      </c>
      <c r="G45" s="18">
        <v>2</v>
      </c>
      <c r="H45" s="63">
        <f>Table241718[STOK]-Table241718[TERJUAL]</f>
        <v>2</v>
      </c>
      <c r="I45" s="21">
        <f>(Table241718[HRGA JUAL]*Table241718[TERJUAL])-(Table241718[HARGA POKOK]*Table241718[TERJUAL])</f>
        <v>29000</v>
      </c>
      <c r="J45" s="21">
        <f>(Table241718[HRGA JUAL]*Table241718[TERJUAL])</f>
        <v>90000</v>
      </c>
      <c r="K45" s="21">
        <f>Table241718[HRGA JUAL]*Table241718[SISA]</f>
        <v>90000</v>
      </c>
      <c r="L45" s="64">
        <f>Table241718[HARGA POKOK]*Table241718[STOK]</f>
        <v>122000</v>
      </c>
      <c r="M45" s="64">
        <f>Table241718[HRGA JUAL]*Table241718[STOK]</f>
        <v>180000</v>
      </c>
    </row>
    <row r="46" spans="1:13" x14ac:dyDescent="0.25">
      <c r="A46" s="18">
        <v>41</v>
      </c>
      <c r="B46" s="19" t="s">
        <v>32</v>
      </c>
      <c r="C46" s="19" t="s">
        <v>20</v>
      </c>
      <c r="D46" s="21">
        <v>1500</v>
      </c>
      <c r="E46" s="21">
        <v>5000</v>
      </c>
      <c r="F46" s="18">
        <v>5</v>
      </c>
      <c r="G46" s="18">
        <v>1</v>
      </c>
      <c r="H46" s="63">
        <f>Table241718[STOK]-Table241718[TERJUAL]</f>
        <v>4</v>
      </c>
      <c r="I46" s="21">
        <f>(Table241718[HRGA JUAL]*Table241718[TERJUAL])-(Table241718[HARGA POKOK]*Table241718[TERJUAL])</f>
        <v>3500</v>
      </c>
      <c r="J46" s="21">
        <f>(Table241718[HRGA JUAL]*Table241718[TERJUAL])</f>
        <v>5000</v>
      </c>
      <c r="K46" s="21">
        <f>Table241718[HRGA JUAL]*Table241718[SISA]</f>
        <v>20000</v>
      </c>
      <c r="L46" s="64">
        <f>Table241718[HARGA POKOK]*Table241718[STOK]</f>
        <v>7500</v>
      </c>
      <c r="M46" s="64">
        <f>Table241718[HRGA JUAL]*Table241718[STOK]</f>
        <v>25000</v>
      </c>
    </row>
    <row r="47" spans="1:13" x14ac:dyDescent="0.25">
      <c r="A47" s="22">
        <v>42</v>
      </c>
      <c r="B47" s="19" t="s">
        <v>32</v>
      </c>
      <c r="C47" s="19" t="s">
        <v>23</v>
      </c>
      <c r="D47" s="21">
        <v>25250</v>
      </c>
      <c r="E47" s="21">
        <v>40000</v>
      </c>
      <c r="F47" s="18">
        <v>5</v>
      </c>
      <c r="H47" s="63">
        <f>Table241718[STOK]-Table241718[TERJUAL]</f>
        <v>5</v>
      </c>
      <c r="I47" s="21">
        <f>(Table241718[HRGA JUAL]*Table241718[TERJUAL])-(Table241718[HARGA POKOK]*Table241718[TERJUAL])</f>
        <v>0</v>
      </c>
      <c r="J47" s="21">
        <f>(Table241718[HRGA JUAL]*Table241718[TERJUAL])</f>
        <v>0</v>
      </c>
      <c r="K47" s="21">
        <f>Table241718[HRGA JUAL]*Table241718[SISA]</f>
        <v>200000</v>
      </c>
      <c r="L47" s="64">
        <f>Table241718[HARGA POKOK]*Table241718[STOK]</f>
        <v>126250</v>
      </c>
      <c r="M47" s="64">
        <f>Table241718[HRGA JUAL]*Table241718[STOK]</f>
        <v>200000</v>
      </c>
    </row>
    <row r="48" spans="1:13" x14ac:dyDescent="0.25">
      <c r="A48" s="18">
        <v>43</v>
      </c>
      <c r="B48" s="19" t="s">
        <v>32</v>
      </c>
      <c r="C48" s="19" t="s">
        <v>19</v>
      </c>
      <c r="D48" s="21">
        <v>1500</v>
      </c>
      <c r="E48" s="21">
        <v>5000</v>
      </c>
      <c r="F48" s="18">
        <v>1</v>
      </c>
      <c r="G48" s="18">
        <v>6</v>
      </c>
      <c r="H48" s="63">
        <f>Table241718[STOK]-Table241718[TERJUAL]</f>
        <v>-5</v>
      </c>
      <c r="I48" s="21">
        <f>(Table241718[HRGA JUAL]*Table241718[TERJUAL])-(Table241718[HARGA POKOK]*Table241718[TERJUAL])</f>
        <v>21000</v>
      </c>
      <c r="J48" s="21">
        <f>(Table241718[HRGA JUAL]*Table241718[TERJUAL])</f>
        <v>30000</v>
      </c>
      <c r="K48" s="21">
        <f>Table241718[HRGA JUAL]*Table241718[SISA]</f>
        <v>-25000</v>
      </c>
      <c r="L48" s="64">
        <f>Table241718[HARGA POKOK]*Table241718[STOK]</f>
        <v>1500</v>
      </c>
      <c r="M48" s="64">
        <f>Table241718[HRGA JUAL]*Table241718[STOK]</f>
        <v>5000</v>
      </c>
    </row>
    <row r="49" spans="1:13" x14ac:dyDescent="0.25">
      <c r="A49" s="22">
        <v>44</v>
      </c>
      <c r="B49" s="19" t="s">
        <v>32</v>
      </c>
      <c r="C49" s="19" t="s">
        <v>22</v>
      </c>
      <c r="D49" s="21">
        <v>27500</v>
      </c>
      <c r="E49" s="21">
        <v>40000</v>
      </c>
      <c r="F49" s="18">
        <v>5</v>
      </c>
      <c r="G49" s="18">
        <v>1</v>
      </c>
      <c r="H49" s="63">
        <f>Table241718[STOK]-Table241718[TERJUAL]</f>
        <v>4</v>
      </c>
      <c r="I49" s="21">
        <f>(Table241718[HRGA JUAL]*Table241718[TERJUAL])-(Table241718[HARGA POKOK]*Table241718[TERJUAL])</f>
        <v>12500</v>
      </c>
      <c r="J49" s="21">
        <f>(Table241718[HRGA JUAL]*Table241718[TERJUAL])</f>
        <v>40000</v>
      </c>
      <c r="K49" s="21">
        <f>Table241718[HRGA JUAL]*Table241718[SISA]</f>
        <v>160000</v>
      </c>
      <c r="L49" s="64">
        <f>Table241718[HARGA POKOK]*Table241718[STOK]</f>
        <v>137500</v>
      </c>
      <c r="M49" s="64">
        <f>Table241718[HRGA JUAL]*Table241718[STOK]</f>
        <v>200000</v>
      </c>
    </row>
    <row r="50" spans="1:13" x14ac:dyDescent="0.25">
      <c r="A50" s="18">
        <v>45</v>
      </c>
      <c r="B50" s="19" t="s">
        <v>32</v>
      </c>
      <c r="C50" s="19" t="s">
        <v>24</v>
      </c>
      <c r="D50" s="21">
        <v>17500</v>
      </c>
      <c r="E50" s="21">
        <v>40000</v>
      </c>
      <c r="F50" s="18">
        <v>30</v>
      </c>
      <c r="H50" s="63">
        <f>Table241718[STOK]-Table241718[TERJUAL]</f>
        <v>30</v>
      </c>
      <c r="I50" s="21">
        <f>(Table241718[HRGA JUAL]*Table241718[TERJUAL])-(Table241718[HARGA POKOK]*Table241718[TERJUAL])</f>
        <v>0</v>
      </c>
      <c r="J50" s="21">
        <f>(Table241718[HRGA JUAL]*Table241718[TERJUAL])</f>
        <v>0</v>
      </c>
      <c r="K50" s="21">
        <f>Table241718[HRGA JUAL]*Table241718[SISA]</f>
        <v>1200000</v>
      </c>
      <c r="L50" s="64">
        <f>Table241718[HARGA POKOK]*Table241718[STOK]</f>
        <v>525000</v>
      </c>
      <c r="M50" s="64">
        <f>Table241718[HRGA JUAL]*Table241718[STOK]</f>
        <v>1200000</v>
      </c>
    </row>
    <row r="51" spans="1:13" x14ac:dyDescent="0.25">
      <c r="A51" s="22">
        <v>46</v>
      </c>
      <c r="B51" s="278" t="s">
        <v>33</v>
      </c>
      <c r="C51" s="278" t="s">
        <v>37</v>
      </c>
      <c r="D51" s="24">
        <v>8700</v>
      </c>
      <c r="E51" s="24">
        <v>15000</v>
      </c>
      <c r="F51" s="22">
        <v>21</v>
      </c>
      <c r="G51" s="22">
        <v>2</v>
      </c>
      <c r="H51" s="65">
        <f>Table241718[STOK]-Table241718[TERJUAL]</f>
        <v>19</v>
      </c>
      <c r="I51" s="21">
        <f>(Table241718[HRGA JUAL]*Table241718[TERJUAL])-(Table241718[HARGA POKOK]*Table241718[TERJUAL])</f>
        <v>12600</v>
      </c>
      <c r="J51" s="24">
        <f>(Table241718[HRGA JUAL]*Table241718[TERJUAL])</f>
        <v>30000</v>
      </c>
      <c r="K51" s="24">
        <f>Table241718[HRGA JUAL]*Table241718[SISA]</f>
        <v>285000</v>
      </c>
      <c r="L51" s="64">
        <f>Table241718[HARGA POKOK]*Table241718[STOK]</f>
        <v>182700</v>
      </c>
      <c r="M51" s="64">
        <f>Table241718[HRGA JUAL]*Table241718[STOK]</f>
        <v>315000</v>
      </c>
    </row>
    <row r="52" spans="1:13" x14ac:dyDescent="0.25">
      <c r="A52" s="18">
        <v>47</v>
      </c>
      <c r="B52" s="278" t="s">
        <v>33</v>
      </c>
      <c r="C52" s="19" t="s">
        <v>25</v>
      </c>
      <c r="D52" s="21">
        <v>8800</v>
      </c>
      <c r="E52" s="21">
        <v>15000</v>
      </c>
      <c r="F52" s="18">
        <v>12</v>
      </c>
      <c r="H52" s="63">
        <f>Table241718[STOK]-Table241718[TERJUAL]</f>
        <v>12</v>
      </c>
      <c r="I52" s="21">
        <f>(Table241718[HRGA JUAL]*Table241718[TERJUAL])-(Table241718[HARGA POKOK]*Table241718[TERJUAL])</f>
        <v>0</v>
      </c>
      <c r="J52" s="21">
        <f>(Table241718[HRGA JUAL]*Table241718[TERJUAL])</f>
        <v>0</v>
      </c>
      <c r="K52" s="21">
        <f>Table241718[HRGA JUAL]*Table241718[SISA]</f>
        <v>180000</v>
      </c>
      <c r="L52" s="64">
        <f>Table241718[HARGA POKOK]*Table241718[STOK]</f>
        <v>105600</v>
      </c>
      <c r="M52" s="64">
        <f>Table241718[HRGA JUAL]*Table241718[STOK]</f>
        <v>180000</v>
      </c>
    </row>
    <row r="53" spans="1:13" x14ac:dyDescent="0.25">
      <c r="A53" s="22">
        <v>48</v>
      </c>
      <c r="B53" s="278" t="s">
        <v>33</v>
      </c>
      <c r="C53" s="19" t="s">
        <v>26</v>
      </c>
      <c r="D53" s="21">
        <v>315000</v>
      </c>
      <c r="E53" s="21">
        <v>475000</v>
      </c>
      <c r="F53" s="18">
        <v>189</v>
      </c>
      <c r="H53" s="63">
        <f>Table241718[STOK]-Table241718[TERJUAL]</f>
        <v>189</v>
      </c>
      <c r="I53" s="21">
        <f>(Table241718[HRGA JUAL]*Table241718[TERJUAL])-(Table241718[HARGA POKOK]*Table241718[TERJUAL])</f>
        <v>0</v>
      </c>
      <c r="J53" s="21">
        <f>(Table241718[HRGA JUAL]*Table241718[TERJUAL])</f>
        <v>0</v>
      </c>
      <c r="K53" s="21">
        <f>Table241718[HRGA JUAL]*Table241718[SISA]</f>
        <v>89775000</v>
      </c>
      <c r="L53" s="64">
        <f>Table241718[HARGA POKOK]*Table241718[STOK]</f>
        <v>59535000</v>
      </c>
      <c r="M53" s="64">
        <f>Table241718[HRGA JUAL]*Table241718[STOK]</f>
        <v>89775000</v>
      </c>
    </row>
    <row r="54" spans="1:13" x14ac:dyDescent="0.25">
      <c r="A54" s="18">
        <v>49</v>
      </c>
      <c r="B54" s="278" t="s">
        <v>34</v>
      </c>
      <c r="C54" s="278" t="s">
        <v>78</v>
      </c>
      <c r="D54" s="24">
        <v>335000</v>
      </c>
      <c r="E54" s="24">
        <v>490000</v>
      </c>
      <c r="F54" s="22">
        <v>3</v>
      </c>
      <c r="G54" s="22"/>
      <c r="H54" s="65">
        <f>Table241718[STOK]-Table241718[TERJUAL]</f>
        <v>3</v>
      </c>
      <c r="I54" s="21">
        <f>(Table241718[HRGA JUAL]*Table241718[TERJUAL])-(Table241718[HARGA POKOK]*Table241718[TERJUAL])</f>
        <v>0</v>
      </c>
      <c r="J54" s="24">
        <f>(Table241718[HRGA JUAL]*Table241718[TERJUAL])</f>
        <v>0</v>
      </c>
      <c r="K54" s="24">
        <f>Table241718[HRGA JUAL]*Table241718[SISA]</f>
        <v>1470000</v>
      </c>
      <c r="L54" s="64">
        <f>Table241718[HARGA POKOK]*Table241718[STOK]</f>
        <v>1005000</v>
      </c>
      <c r="M54" s="64">
        <f>Table241718[HRGA JUAL]*Table241718[STOK]</f>
        <v>1470000</v>
      </c>
    </row>
    <row r="55" spans="1:13" x14ac:dyDescent="0.25">
      <c r="A55" s="18"/>
      <c r="B55" s="278"/>
      <c r="C55" s="278" t="s">
        <v>310</v>
      </c>
      <c r="D55" s="24">
        <v>335000</v>
      </c>
      <c r="E55" s="24">
        <v>400000</v>
      </c>
      <c r="F55" s="22">
        <v>4</v>
      </c>
      <c r="G55" s="22">
        <v>1</v>
      </c>
      <c r="H55" s="65">
        <f>Table241718[STOK]-Table241718[TERJUAL]</f>
        <v>3</v>
      </c>
      <c r="I55" s="21">
        <f>(Table241718[HRGA JUAL]*Table241718[TERJUAL])-(Table241718[HARGA POKOK]*Table241718[TERJUAL])</f>
        <v>65000</v>
      </c>
      <c r="J55" s="24">
        <f>(Table241718[HRGA JUAL]*Table241718[TERJUAL])</f>
        <v>400000</v>
      </c>
      <c r="K55" s="24">
        <f>Table241718[HRGA JUAL]*Table241718[SISA]</f>
        <v>1200000</v>
      </c>
      <c r="L55" s="64">
        <f>Table241718[HARGA POKOK]*Table241718[STOK]</f>
        <v>1340000</v>
      </c>
      <c r="M55" s="64">
        <f>Table241718[HRGA JUAL]*Table241718[STOK]</f>
        <v>1600000</v>
      </c>
    </row>
    <row r="56" spans="1:13" x14ac:dyDescent="0.25">
      <c r="A56" s="29">
        <v>50</v>
      </c>
      <c r="B56" s="30" t="s">
        <v>40</v>
      </c>
      <c r="C56" s="30" t="s">
        <v>79</v>
      </c>
      <c r="D56" s="31">
        <v>25000</v>
      </c>
      <c r="E56" s="31">
        <v>40000</v>
      </c>
      <c r="F56" s="29"/>
      <c r="G56" s="29">
        <v>10</v>
      </c>
      <c r="H56" s="66">
        <f>Table241718[STOK]-Table241718[TERJUAL]</f>
        <v>-10</v>
      </c>
      <c r="I56" s="67">
        <f>(Table241718[HRGA JUAL]*Table241718[TERJUAL])-(Table241718[HARGA POKOK]*Table241718[TERJUAL])</f>
        <v>150000</v>
      </c>
      <c r="J56" s="31">
        <f>(Table241718[HRGA JUAL]*Table241718[TERJUAL])</f>
        <v>400000</v>
      </c>
      <c r="K56" s="31"/>
      <c r="L56" s="68"/>
      <c r="M56" s="68"/>
    </row>
    <row r="57" spans="1:13" x14ac:dyDescent="0.25">
      <c r="A57" s="37">
        <v>51</v>
      </c>
      <c r="B57" s="30" t="s">
        <v>71</v>
      </c>
      <c r="C57" s="30" t="s">
        <v>70</v>
      </c>
      <c r="D57" s="31">
        <v>1000</v>
      </c>
      <c r="E57" s="31">
        <v>1700</v>
      </c>
      <c r="F57" s="29"/>
      <c r="G57" s="29"/>
      <c r="H57" s="66">
        <f>Table241718[STOK]-Table241718[TERJUAL]</f>
        <v>0</v>
      </c>
      <c r="I57" s="67">
        <f>(Table241718[HRGA JUAL]*Table241718[TERJUAL])-(Table241718[HARGA POKOK]*Table241718[TERJUAL])</f>
        <v>0</v>
      </c>
      <c r="J57" s="31">
        <f>(Table241718[HRGA JUAL]*Table241718[TERJUAL])</f>
        <v>0</v>
      </c>
      <c r="K57" s="31"/>
      <c r="L57" s="68"/>
      <c r="M57" s="68"/>
    </row>
    <row r="58" spans="1:13" x14ac:dyDescent="0.25">
      <c r="A58" s="29">
        <v>52</v>
      </c>
      <c r="B58" s="30" t="s">
        <v>68</v>
      </c>
      <c r="C58" s="30" t="s">
        <v>69</v>
      </c>
      <c r="D58" s="38">
        <v>6300</v>
      </c>
      <c r="E58" s="31">
        <v>10000</v>
      </c>
      <c r="F58" s="29"/>
      <c r="G58" s="29">
        <v>1789</v>
      </c>
      <c r="H58" s="66">
        <f>Table241718[STOK]-Table241718[TERJUAL]</f>
        <v>-1789</v>
      </c>
      <c r="I58" s="67">
        <f>(Table241718[HRGA JUAL]*Table241718[TERJUAL])-(Table241718[HARGA POKOK]*Table241718[TERJUAL])</f>
        <v>6619300</v>
      </c>
      <c r="J58" s="31">
        <f>(Table241718[HRGA JUAL]*Table241718[TERJUAL])</f>
        <v>17890000</v>
      </c>
      <c r="K58" s="31"/>
      <c r="L58" s="68"/>
      <c r="M58" s="68"/>
    </row>
    <row r="59" spans="1:13" x14ac:dyDescent="0.25">
      <c r="A59" s="37">
        <v>53</v>
      </c>
      <c r="B59" s="30" t="s">
        <v>74</v>
      </c>
      <c r="C59" s="30" t="s">
        <v>80</v>
      </c>
      <c r="D59" s="38">
        <v>6700</v>
      </c>
      <c r="E59" s="31">
        <v>11000</v>
      </c>
      <c r="F59" s="29">
        <v>0</v>
      </c>
      <c r="G59" s="29"/>
      <c r="H59" s="66">
        <f>Table241718[STOK]-Table241718[TERJUAL]</f>
        <v>0</v>
      </c>
      <c r="I59" s="67">
        <f>(Table241718[HRGA JUAL]*Table241718[TERJUAL])-(Table241718[HARGA POKOK]*Table241718[TERJUAL])</f>
        <v>0</v>
      </c>
      <c r="J59" s="31">
        <f>(Table241718[HRGA JUAL]*Table241718[TERJUAL])</f>
        <v>0</v>
      </c>
      <c r="K59" s="31"/>
      <c r="L59" s="68"/>
      <c r="M59" s="68"/>
    </row>
    <row r="60" spans="1:13" ht="18.75" x14ac:dyDescent="0.25">
      <c r="A60" s="364" t="s">
        <v>8</v>
      </c>
      <c r="B60" s="365"/>
      <c r="C60" s="365"/>
      <c r="D60" s="365"/>
      <c r="E60" s="365"/>
      <c r="F60" s="365"/>
      <c r="G60" s="365"/>
      <c r="H60" s="366"/>
      <c r="I60" s="71">
        <f>SUM(I5:I59)</f>
        <v>8568400</v>
      </c>
      <c r="J60" s="72">
        <f>SUM(J5:J59)</f>
        <v>28025000</v>
      </c>
      <c r="K60" s="71">
        <f>SUBTOTAL(109,Table241718[NILAI BLM TERJUAL])</f>
        <v>243098000</v>
      </c>
      <c r="L60" s="73">
        <f>SUM(L5:L59)</f>
        <v>181540550</v>
      </c>
      <c r="M60" s="73">
        <f>SUM(M5:M54)</f>
        <v>251268000</v>
      </c>
    </row>
    <row r="62" spans="1:13" x14ac:dyDescent="0.25">
      <c r="E62" s="361"/>
      <c r="F62" s="361"/>
      <c r="G62" s="361"/>
      <c r="H62" s="361"/>
      <c r="I62" s="361"/>
      <c r="J62" s="361"/>
      <c r="K62" s="280"/>
    </row>
    <row r="63" spans="1:13" x14ac:dyDescent="0.25">
      <c r="E63" s="367"/>
      <c r="F63" s="367"/>
      <c r="G63" s="367"/>
      <c r="H63" s="374"/>
      <c r="I63" s="374"/>
      <c r="J63" s="367"/>
      <c r="K63" s="367"/>
      <c r="L63" s="367"/>
      <c r="M63" s="74"/>
    </row>
    <row r="64" spans="1:13" x14ac:dyDescent="0.25">
      <c r="E64" s="375"/>
      <c r="F64" s="375"/>
      <c r="G64" s="375"/>
      <c r="H64" s="374"/>
      <c r="I64" s="374"/>
      <c r="J64" s="77"/>
      <c r="K64" s="77"/>
      <c r="L64" s="77"/>
      <c r="M64" s="77"/>
    </row>
    <row r="65" spans="1:13" x14ac:dyDescent="0.25">
      <c r="E65" s="375"/>
      <c r="F65" s="375"/>
      <c r="G65" s="375"/>
      <c r="H65" s="374"/>
      <c r="I65" s="374"/>
      <c r="J65" s="367"/>
      <c r="K65" s="367"/>
      <c r="L65" s="367"/>
      <c r="M65" s="74"/>
    </row>
    <row r="66" spans="1:13" x14ac:dyDescent="0.25">
      <c r="E66" s="367"/>
      <c r="F66" s="367"/>
      <c r="G66" s="367"/>
      <c r="H66" s="374"/>
      <c r="I66" s="374"/>
      <c r="J66" s="367"/>
      <c r="K66" s="367"/>
      <c r="L66" s="367"/>
    </row>
    <row r="67" spans="1:13" x14ac:dyDescent="0.25">
      <c r="E67" s="368"/>
      <c r="F67" s="368"/>
      <c r="G67" s="368"/>
      <c r="H67" s="371"/>
      <c r="I67" s="371"/>
      <c r="J67" s="80"/>
      <c r="K67" s="74"/>
      <c r="L67" s="22"/>
    </row>
    <row r="68" spans="1:13" x14ac:dyDescent="0.25">
      <c r="E68" s="80"/>
      <c r="F68" s="370"/>
      <c r="G68" s="370"/>
      <c r="H68" s="370"/>
      <c r="I68" s="370"/>
      <c r="J68" s="370"/>
      <c r="K68" s="22"/>
      <c r="L68" s="22"/>
    </row>
    <row r="69" spans="1:13" x14ac:dyDescent="0.25">
      <c r="E69" s="80"/>
      <c r="F69" s="81"/>
      <c r="G69" s="372"/>
      <c r="H69" s="372"/>
      <c r="I69" s="372"/>
      <c r="J69" s="80"/>
      <c r="K69" s="74"/>
      <c r="L69" s="22"/>
    </row>
    <row r="70" spans="1:13" x14ac:dyDescent="0.25">
      <c r="E70" s="80"/>
      <c r="F70" s="82"/>
      <c r="G70" s="373"/>
      <c r="H70" s="373"/>
      <c r="I70" s="373"/>
      <c r="J70" s="80"/>
      <c r="K70" s="74"/>
      <c r="L70" s="22"/>
    </row>
    <row r="71" spans="1:13" x14ac:dyDescent="0.25">
      <c r="E71" s="80"/>
      <c r="F71" s="80"/>
      <c r="G71" s="369"/>
      <c r="H71" s="369"/>
      <c r="I71" s="369"/>
      <c r="J71" s="80"/>
      <c r="K71" s="74"/>
      <c r="L71" s="22"/>
    </row>
    <row r="72" spans="1:13" x14ac:dyDescent="0.25">
      <c r="E72" s="279"/>
      <c r="F72" s="279"/>
      <c r="G72" s="80"/>
      <c r="H72" s="80"/>
      <c r="I72" s="80"/>
      <c r="J72" s="80"/>
      <c r="K72" s="74"/>
      <c r="L72" s="74"/>
      <c r="M72" s="58"/>
    </row>
    <row r="73" spans="1:13" x14ac:dyDescent="0.25">
      <c r="E73" s="22"/>
      <c r="F73" s="22"/>
      <c r="G73" s="74"/>
      <c r="H73" s="74"/>
      <c r="I73" s="74"/>
      <c r="J73" s="74"/>
      <c r="K73" s="74"/>
      <c r="L73" s="74"/>
      <c r="M73" s="58"/>
    </row>
    <row r="74" spans="1:13" ht="18.75" x14ac:dyDescent="0.3">
      <c r="A74" s="360" t="s">
        <v>99</v>
      </c>
      <c r="B74" s="360"/>
      <c r="C74" s="360"/>
      <c r="D74" s="360"/>
    </row>
    <row r="75" spans="1:13" ht="18.75" x14ac:dyDescent="0.3">
      <c r="A75" s="360" t="s">
        <v>110</v>
      </c>
      <c r="B75" s="360"/>
      <c r="C75" s="360"/>
      <c r="D75" s="360"/>
    </row>
    <row r="76" spans="1:13" ht="18.75" x14ac:dyDescent="0.3">
      <c r="A76" s="360" t="s">
        <v>75</v>
      </c>
      <c r="B76" s="360"/>
      <c r="C76" s="360"/>
      <c r="D76" s="360"/>
    </row>
    <row r="77" spans="1:13" x14ac:dyDescent="0.25">
      <c r="A77"/>
      <c r="B77"/>
      <c r="C77"/>
      <c r="D77"/>
    </row>
    <row r="78" spans="1:13" ht="15.75" x14ac:dyDescent="0.25">
      <c r="A78" s="356" t="s">
        <v>111</v>
      </c>
      <c r="B78" s="357"/>
      <c r="C78" s="356" t="s">
        <v>77</v>
      </c>
      <c r="D78" s="357"/>
    </row>
    <row r="79" spans="1:13" ht="15.75" x14ac:dyDescent="0.25">
      <c r="A79" s="281" t="s">
        <v>103</v>
      </c>
      <c r="B79" s="282"/>
      <c r="C79" s="48"/>
      <c r="D79" s="48"/>
    </row>
    <row r="80" spans="1:13" ht="15.75" x14ac:dyDescent="0.25">
      <c r="A80" s="354" t="s">
        <v>102</v>
      </c>
      <c r="B80" s="355"/>
      <c r="C80" s="46">
        <v>28025000</v>
      </c>
      <c r="D80" s="46"/>
    </row>
    <row r="81" spans="1:13" ht="15.75" x14ac:dyDescent="0.25">
      <c r="A81" s="356" t="s">
        <v>104</v>
      </c>
      <c r="B81" s="357"/>
      <c r="C81" s="46"/>
      <c r="D81" s="47">
        <v>28025000</v>
      </c>
    </row>
    <row r="82" spans="1:13" ht="15.75" x14ac:dyDescent="0.25">
      <c r="A82" s="350" t="s">
        <v>106</v>
      </c>
      <c r="B82" s="351"/>
      <c r="C82" s="46"/>
      <c r="D82" s="46">
        <v>19456600</v>
      </c>
    </row>
    <row r="83" spans="1:13" ht="15.75" x14ac:dyDescent="0.25">
      <c r="A83" s="358" t="s">
        <v>114</v>
      </c>
      <c r="B83" s="359"/>
      <c r="C83" s="49"/>
      <c r="D83" s="50">
        <v>6059600</v>
      </c>
      <c r="G83" s="58"/>
      <c r="H83" s="58"/>
      <c r="I83" s="58"/>
      <c r="J83" s="58"/>
      <c r="K83" s="58"/>
      <c r="L83" s="58"/>
      <c r="M83" s="58"/>
    </row>
    <row r="84" spans="1:13" ht="15.75" x14ac:dyDescent="0.25">
      <c r="A84" s="346" t="s">
        <v>105</v>
      </c>
      <c r="B84" s="347"/>
      <c r="C84" s="46"/>
      <c r="D84" s="54"/>
      <c r="G84" s="58"/>
      <c r="H84" s="58"/>
      <c r="I84" s="58"/>
      <c r="J84" s="58"/>
      <c r="K84" s="58"/>
      <c r="L84" s="58"/>
      <c r="M84" s="58"/>
    </row>
    <row r="85" spans="1:13" ht="15.75" x14ac:dyDescent="0.25">
      <c r="A85" s="348" t="s">
        <v>97</v>
      </c>
      <c r="B85" s="349"/>
      <c r="C85" s="46">
        <v>2000000</v>
      </c>
      <c r="D85" s="46"/>
      <c r="G85" s="58"/>
      <c r="H85" s="58"/>
      <c r="I85" s="58"/>
      <c r="J85" s="58"/>
      <c r="K85" s="58"/>
      <c r="L85" s="58"/>
      <c r="M85" s="58"/>
    </row>
    <row r="86" spans="1:13" ht="15.75" x14ac:dyDescent="0.25">
      <c r="A86" s="350" t="s">
        <v>98</v>
      </c>
      <c r="B86" s="351"/>
      <c r="C86" s="46">
        <v>416000</v>
      </c>
      <c r="D86" s="46"/>
      <c r="G86" s="58"/>
      <c r="H86" s="58"/>
      <c r="I86" s="58"/>
      <c r="J86" s="58"/>
      <c r="K86" s="58"/>
      <c r="L86" s="58"/>
      <c r="M86" s="58"/>
    </row>
    <row r="87" spans="1:13" ht="15.75" x14ac:dyDescent="0.25">
      <c r="A87" s="344" t="s">
        <v>312</v>
      </c>
      <c r="B87" s="345"/>
      <c r="C87" s="46">
        <v>167000</v>
      </c>
      <c r="D87" s="46"/>
      <c r="G87" s="58"/>
      <c r="H87" s="58"/>
      <c r="I87" s="58"/>
      <c r="J87" s="58"/>
      <c r="K87" s="58"/>
      <c r="L87" s="58"/>
      <c r="M87" s="58"/>
    </row>
    <row r="88" spans="1:13" ht="15.75" x14ac:dyDescent="0.25">
      <c r="A88" s="352" t="s">
        <v>107</v>
      </c>
      <c r="B88" s="353"/>
      <c r="C88" s="51" t="s">
        <v>117</v>
      </c>
      <c r="D88" s="47">
        <f>SUM(C85:C87)</f>
        <v>2583000</v>
      </c>
      <c r="G88" s="58"/>
      <c r="H88" s="58"/>
      <c r="I88" s="58"/>
      <c r="J88" s="58"/>
      <c r="K88" s="58"/>
      <c r="L88" s="58"/>
      <c r="M88" s="58"/>
    </row>
    <row r="89" spans="1:13" ht="15.75" x14ac:dyDescent="0.25">
      <c r="A89" s="344" t="s">
        <v>108</v>
      </c>
      <c r="B89" s="345"/>
      <c r="C89" s="51"/>
      <c r="D89" s="51"/>
      <c r="G89" s="58"/>
      <c r="H89" s="58"/>
      <c r="I89" s="58"/>
      <c r="J89" s="58"/>
      <c r="K89" s="58"/>
      <c r="L89" s="58"/>
      <c r="M89" s="58"/>
    </row>
    <row r="90" spans="1:13" ht="15.75" x14ac:dyDescent="0.25">
      <c r="A90" s="346" t="s">
        <v>109</v>
      </c>
      <c r="B90" s="347"/>
      <c r="C90" s="48"/>
      <c r="D90" s="50">
        <f>SUM(D83-D88)</f>
        <v>3476600</v>
      </c>
      <c r="G90" s="58"/>
      <c r="H90" s="58"/>
      <c r="I90" s="58"/>
      <c r="J90" s="58"/>
      <c r="K90" s="58"/>
      <c r="L90" s="58"/>
      <c r="M90" s="58"/>
    </row>
    <row r="91" spans="1:13" x14ac:dyDescent="0.25">
      <c r="A91"/>
      <c r="B91"/>
      <c r="C91"/>
      <c r="D91"/>
      <c r="G91" s="58"/>
      <c r="H91" s="58"/>
      <c r="I91" s="58"/>
      <c r="J91" s="58"/>
      <c r="K91" s="58"/>
      <c r="L91" s="58"/>
      <c r="M91" s="58"/>
    </row>
  </sheetData>
  <mergeCells count="36">
    <mergeCell ref="A87:B87"/>
    <mergeCell ref="A88:B88"/>
    <mergeCell ref="A89:B89"/>
    <mergeCell ref="A90:B90"/>
    <mergeCell ref="A81:B81"/>
    <mergeCell ref="A82:B82"/>
    <mergeCell ref="A83:B83"/>
    <mergeCell ref="A84:B84"/>
    <mergeCell ref="A85:B85"/>
    <mergeCell ref="A86:B86"/>
    <mergeCell ref="A80:B80"/>
    <mergeCell ref="E67:G67"/>
    <mergeCell ref="H67:I67"/>
    <mergeCell ref="F68:J68"/>
    <mergeCell ref="G69:I69"/>
    <mergeCell ref="G70:I70"/>
    <mergeCell ref="G71:I71"/>
    <mergeCell ref="A74:D74"/>
    <mergeCell ref="A75:D75"/>
    <mergeCell ref="A76:D76"/>
    <mergeCell ref="A78:B78"/>
    <mergeCell ref="C78:D78"/>
    <mergeCell ref="E64:G65"/>
    <mergeCell ref="H64:I64"/>
    <mergeCell ref="H65:I65"/>
    <mergeCell ref="J65:L65"/>
    <mergeCell ref="E66:G66"/>
    <mergeCell ref="H66:I66"/>
    <mergeCell ref="J66:L66"/>
    <mergeCell ref="A1:N1"/>
    <mergeCell ref="A2:N2"/>
    <mergeCell ref="A60:H60"/>
    <mergeCell ref="E62:J62"/>
    <mergeCell ref="E63:G63"/>
    <mergeCell ref="H63:I63"/>
    <mergeCell ref="J63:L63"/>
  </mergeCells>
  <pageMargins left="0.7" right="0.7" top="0.75" bottom="0.75" header="0.3" footer="0.3"/>
  <pageSetup paperSize="256" fitToHeight="0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1"/>
  <sheetViews>
    <sheetView topLeftCell="A142" workbookViewId="0">
      <selection activeCell="C66" sqref="C66"/>
    </sheetView>
  </sheetViews>
  <sheetFormatPr defaultRowHeight="15" x14ac:dyDescent="0.25"/>
  <cols>
    <col min="1" max="1" width="6.140625" customWidth="1"/>
    <col min="2" max="2" width="23.42578125" customWidth="1"/>
    <col min="3" max="3" width="25.85546875" customWidth="1"/>
    <col min="4" max="4" width="20.28515625" customWidth="1"/>
    <col min="5" max="5" width="15.42578125" customWidth="1"/>
    <col min="6" max="6" width="9.140625" customWidth="1"/>
    <col min="7" max="7" width="11.85546875" customWidth="1"/>
    <col min="8" max="8" width="1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316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s="250" customFormat="1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271">
        <v>336</v>
      </c>
      <c r="G5" s="142">
        <v>102</v>
      </c>
      <c r="H5" s="141">
        <f>(Table24232567891011121314151620[[#This Row],[STOK]]-Table24232567891011121314151620[[#This Row],[TERJUAL]])</f>
        <v>234</v>
      </c>
      <c r="I5" s="143">
        <f>(Table24232567891011121314151620[HARGA JUAL]*Table24232567891011121314151620[TERJUAL])-(Table24232567891011121314151620[HARGA POKOK]*Table24232567891011121314151620[TERJUAL])</f>
        <v>2244000</v>
      </c>
      <c r="J5" s="143">
        <f>(Table24232567891011121314151620[HARGA JUAL]*Table24232567891011121314151620[TERJUAL])</f>
        <v>9894000</v>
      </c>
      <c r="K5" s="143">
        <f>Table24232567891011121314151620[HARGA JUAL]*Table24232567891011121314151620[SISA]</f>
        <v>22698000</v>
      </c>
      <c r="L5" s="144">
        <f>Table24232567891011121314151620[HARGA POKOK]*Table24232567891011121314151620[STOK]</f>
        <v>25200000</v>
      </c>
      <c r="M5" s="144">
        <f>Table24232567891011121314151620[HARGA JUAL]*Table24232567891011121314151620[STOK]</f>
        <v>32592000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270">
        <v>147</v>
      </c>
      <c r="G6" s="142">
        <v>30</v>
      </c>
      <c r="H6" s="141">
        <f>(Table24232567891011121314151620[[#This Row],[STOK]]-Table24232567891011121314151620[[#This Row],[TERJUAL]])</f>
        <v>117</v>
      </c>
      <c r="I6" s="143">
        <f>(Table24232567891011121314151620[HARGA JUAL]*Table24232567891011121314151620[TERJUAL])-(Table24232567891011121314151620[HARGA POKOK]*Table24232567891011121314151620[TERJUAL])</f>
        <v>600000</v>
      </c>
      <c r="J6" s="143">
        <f>(Table24232567891011121314151620[HARGA JUAL]*Table24232567891011121314151620[TERJUAL])</f>
        <v>2400000</v>
      </c>
      <c r="K6" s="143">
        <f>Table24232567891011121314151620[HARGA JUAL]*Table24232567891011121314151620[SISA]</f>
        <v>9360000</v>
      </c>
      <c r="L6" s="144">
        <f>Table24232567891011121314151620[HARGA POKOK]*Table24232567891011121314151620[STOK]</f>
        <v>8820000</v>
      </c>
      <c r="M6" s="144">
        <f>Table24232567891011121314151620[HARGA JUAL]*Table24232567891011121314151620[STOK]</f>
        <v>11760000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55000</v>
      </c>
      <c r="E7" s="140">
        <v>70000</v>
      </c>
      <c r="F7" s="141">
        <v>40</v>
      </c>
      <c r="G7" s="142">
        <v>6</v>
      </c>
      <c r="H7" s="141">
        <f>(Table24232567891011121314151620[[#This Row],[STOK]]-Table24232567891011121314151620[[#This Row],[TERJUAL]])</f>
        <v>34</v>
      </c>
      <c r="I7" s="143">
        <f>(Table24232567891011121314151620[HARGA JUAL]*Table24232567891011121314151620[TERJUAL])-(Table24232567891011121314151620[HARGA POKOK]*Table24232567891011121314151620[TERJUAL])</f>
        <v>90000</v>
      </c>
      <c r="J7" s="143">
        <f>(Table24232567891011121314151620[HARGA JUAL]*Table24232567891011121314151620[TERJUAL])</f>
        <v>420000</v>
      </c>
      <c r="K7" s="143">
        <f>Table24232567891011121314151620[HARGA JUAL]*Table24232567891011121314151620[SISA]</f>
        <v>2380000</v>
      </c>
      <c r="L7" s="144">
        <f>Table24232567891011121314151620[HARGA POKOK]*Table24232567891011121314151620[STOK]</f>
        <v>2200000</v>
      </c>
      <c r="M7" s="144">
        <f>Table24232567891011121314151620[HARGA JUAL]*Table24232567891011121314151620[STOK]</f>
        <v>2800000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168</v>
      </c>
      <c r="G8" s="142">
        <v>31</v>
      </c>
      <c r="H8" s="141">
        <f>(Table24232567891011121314151620[[#This Row],[STOK]]-Table24232567891011121314151620[[#This Row],[TERJUAL]])</f>
        <v>137</v>
      </c>
      <c r="I8" s="143">
        <f>(Table24232567891011121314151620[HARGA JUAL]*Table24232567891011121314151620[TERJUAL])-(Table24232567891011121314151620[HARGA POKOK]*Table24232567891011121314151620[TERJUAL])</f>
        <v>511500</v>
      </c>
      <c r="J8" s="143">
        <f>(Table24232567891011121314151620[HARGA JUAL]*Table24232567891011121314151620[TERJUAL])</f>
        <v>2542000</v>
      </c>
      <c r="K8" s="143">
        <f>Table24232567891011121314151620[HARGA JUAL]*Table24232567891011121314151620[SISA]</f>
        <v>11234000</v>
      </c>
      <c r="L8" s="144">
        <f>Table24232567891011121314151620[HARGA POKOK]*Table24232567891011121314151620[STOK]</f>
        <v>11004000</v>
      </c>
      <c r="M8" s="144">
        <f>Table24232567891011121314151620[HARGA JUAL]*Table24232567891011121314151620[STOK]</f>
        <v>13776000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116</v>
      </c>
      <c r="G9" s="142">
        <v>23</v>
      </c>
      <c r="H9" s="141">
        <f>(Table24232567891011121314151620[[#This Row],[STOK]]-Table24232567891011121314151620[[#This Row],[TERJUAL]])</f>
        <v>93</v>
      </c>
      <c r="I9" s="143">
        <f>(Table24232567891011121314151620[HARGA JUAL]*Table24232567891011121314151620[TERJUAL])-(Table24232567891011121314151620[HARGA POKOK]*Table24232567891011121314151620[TERJUAL])</f>
        <v>494500</v>
      </c>
      <c r="J9" s="143">
        <f>(Table24232567891011121314151620[HARGA JUAL]*Table24232567891011121314151620[TERJUAL])</f>
        <v>1840000</v>
      </c>
      <c r="K9" s="143">
        <f>Table24232567891011121314151620[HARGA JUAL]*Table24232567891011121314151620[SISA]</f>
        <v>7440000</v>
      </c>
      <c r="L9" s="144">
        <f>Table24232567891011121314151620[HARGA POKOK]*Table24232567891011121314151620[STOK]</f>
        <v>6786000</v>
      </c>
      <c r="M9" s="144">
        <f>Table24232567891011121314151620[HARGA JUAL]*Table24232567891011121314151620[STOK]</f>
        <v>9280000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17</v>
      </c>
      <c r="G10" s="142">
        <v>2</v>
      </c>
      <c r="H10" s="141">
        <f>(Table24232567891011121314151620[[#This Row],[STOK]]-Table24232567891011121314151620[[#This Row],[TERJUAL]])</f>
        <v>15</v>
      </c>
      <c r="I10" s="143">
        <f>(Table24232567891011121314151620[HARGA JUAL]*Table24232567891011121314151620[TERJUAL])-(Table24232567891011121314151620[HARGA POKOK]*Table24232567891011121314151620[TERJUAL])</f>
        <v>53000</v>
      </c>
      <c r="J10" s="143">
        <f>(Table24232567891011121314151620[HARGA JUAL]*Table24232567891011121314151620[TERJUAL])</f>
        <v>220000</v>
      </c>
      <c r="K10" s="143">
        <f>Table24232567891011121314151620[HARGA JUAL]*Table24232567891011121314151620[SISA]</f>
        <v>1650000</v>
      </c>
      <c r="L10" s="144">
        <f>Table24232567891011121314151620[HARGA POKOK]*Table24232567891011121314151620[STOK]</f>
        <v>1419500</v>
      </c>
      <c r="M10" s="144">
        <f>Table24232567891011121314151620[HARGA JUAL]*Table24232567891011121314151620[STOK]</f>
        <v>1870000</v>
      </c>
      <c r="N10" s="145"/>
    </row>
    <row r="11" spans="1:14" s="311" customFormat="1" x14ac:dyDescent="0.25">
      <c r="A11" s="283">
        <v>7</v>
      </c>
      <c r="B11" s="284" t="s">
        <v>28</v>
      </c>
      <c r="C11" s="284" t="s">
        <v>38</v>
      </c>
      <c r="D11" s="285">
        <v>88500</v>
      </c>
      <c r="E11" s="285">
        <v>50000</v>
      </c>
      <c r="F11" s="286">
        <v>9</v>
      </c>
      <c r="G11" s="287">
        <v>1</v>
      </c>
      <c r="H11" s="286">
        <f>(Table24232567891011121314151620[[#This Row],[STOK]]-Table24232567891011121314151620[[#This Row],[TERJUAL]])</f>
        <v>8</v>
      </c>
      <c r="I11" s="288">
        <f>(Table24232567891011121314151620[HARGA JUAL]*Table24232567891011121314151620[TERJUAL])-(Table24232567891011121314151620[HARGA POKOK]*Table24232567891011121314151620[TERJUAL])</f>
        <v>-38500</v>
      </c>
      <c r="J11" s="288">
        <f>(Table24232567891011121314151620[HARGA JUAL]*Table24232567891011121314151620[TERJUAL])</f>
        <v>50000</v>
      </c>
      <c r="K11" s="288">
        <f>Table24232567891011121314151620[HARGA JUAL]*Table24232567891011121314151620[SISA]</f>
        <v>400000</v>
      </c>
      <c r="L11" s="289">
        <f>Table24232567891011121314151620[HARGA POKOK]*Table24232567891011121314151620[STOK]</f>
        <v>796500</v>
      </c>
      <c r="M11" s="289">
        <f>Table24232567891011121314151620[HARGA JUAL]*Table24232567891011121314151620[STOK]</f>
        <v>450000</v>
      </c>
      <c r="N11" s="290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54</v>
      </c>
      <c r="G12" s="142">
        <v>4</v>
      </c>
      <c r="H12" s="141">
        <f>(Table24232567891011121314151620[[#This Row],[STOK]]-Table24232567891011121314151620[[#This Row],[TERJUAL]])</f>
        <v>50</v>
      </c>
      <c r="I12" s="143">
        <f>(Table24232567891011121314151620[HARGA JUAL]*Table24232567891011121314151620[TERJUAL])-(Table24232567891011121314151620[HARGA POKOK]*Table24232567891011121314151620[TERJUAL])</f>
        <v>24000</v>
      </c>
      <c r="J12" s="143">
        <f>(Table24232567891011121314151620[HARGA JUAL]*Table24232567891011121314151620[TERJUAL])</f>
        <v>360000</v>
      </c>
      <c r="K12" s="143">
        <f>Table24232567891011121314151620[HARGA JUAL]*Table24232567891011121314151620[SISA]</f>
        <v>4500000</v>
      </c>
      <c r="L12" s="144">
        <f>Table24232567891011121314151620[HARGA POKOK]*Table24232567891011121314151620[STOK]</f>
        <v>4536000</v>
      </c>
      <c r="M12" s="144">
        <f>Table24232567891011121314151620[HARGA JUAL]*Table24232567891011121314151620[STOK]</f>
        <v>4860000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7</v>
      </c>
      <c r="G13" s="142">
        <v>1</v>
      </c>
      <c r="H13" s="141">
        <f>(Table24232567891011121314151620[[#This Row],[STOK]]-Table24232567891011121314151620[[#This Row],[TERJUAL]])</f>
        <v>6</v>
      </c>
      <c r="I13" s="143">
        <f>(Table24232567891011121314151620[HARGA JUAL]*Table24232567891011121314151620[TERJUAL])-(Table24232567891011121314151620[HARGA POKOK]*Table24232567891011121314151620[TERJUAL])</f>
        <v>21500</v>
      </c>
      <c r="J13" s="143">
        <f>(Table24232567891011121314151620[HARGA JUAL]*Table24232567891011121314151620[TERJUAL])</f>
        <v>180000</v>
      </c>
      <c r="K13" s="143">
        <f>Table24232567891011121314151620[HARGA JUAL]*Table24232567891011121314151620[SISA]</f>
        <v>1080000</v>
      </c>
      <c r="L13" s="144">
        <f>Table24232567891011121314151620[HARGA POKOK]*Table24232567891011121314151620[STOK]</f>
        <v>1109500</v>
      </c>
      <c r="M13" s="144">
        <f>Table24232567891011121314151620[HARGA JUAL]*Table24232567891011121314151620[STOK]</f>
        <v>1260000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120000</v>
      </c>
      <c r="F14" s="141">
        <v>28</v>
      </c>
      <c r="G14" s="142">
        <v>1</v>
      </c>
      <c r="H14" s="141">
        <f>(Table24232567891011121314151620[[#This Row],[STOK]]-Table24232567891011121314151620[[#This Row],[TERJUAL]])</f>
        <v>27</v>
      </c>
      <c r="I14" s="143">
        <f>(Table24232567891011121314151620[HARGA JUAL]*Table24232567891011121314151620[TERJUAL])-(Table24232567891011121314151620[HARGA POKOK]*Table24232567891011121314151620[TERJUAL])</f>
        <v>-13000</v>
      </c>
      <c r="J14" s="143">
        <f>(Table24232567891011121314151620[HARGA JUAL]*Table24232567891011121314151620[TERJUAL])</f>
        <v>120000</v>
      </c>
      <c r="K14" s="143">
        <f>Table24232567891011121314151620[HARGA JUAL]*Table24232567891011121314151620[SISA]</f>
        <v>3240000</v>
      </c>
      <c r="L14" s="144">
        <f>Table24232567891011121314151620[HARGA POKOK]*Table24232567891011121314151620[STOK]</f>
        <v>3724000</v>
      </c>
      <c r="M14" s="144">
        <f>Table24232567891011121314151620[HARGA JUAL]*Table24232567891011121314151620[STOK]</f>
        <v>3360000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96</v>
      </c>
      <c r="G15" s="142">
        <v>17</v>
      </c>
      <c r="H15" s="141">
        <f>(Table24232567891011121314151620[[#This Row],[STOK]]-Table24232567891011121314151620[[#This Row],[TERJUAL]])</f>
        <v>79</v>
      </c>
      <c r="I15" s="143">
        <f>(Table24232567891011121314151620[HARGA JUAL]*Table24232567891011121314151620[TERJUAL])-(Table24232567891011121314151620[HARGA POKOK]*Table24232567891011121314151620[TERJUAL])</f>
        <v>178500</v>
      </c>
      <c r="J15" s="143">
        <f>(Table24232567891011121314151620[HARGA JUAL]*Table24232567891011121314151620[TERJUAL])</f>
        <v>680000</v>
      </c>
      <c r="K15" s="143">
        <f>Table24232567891011121314151620[HARGA JUAL]*Table24232567891011121314151620[SISA]</f>
        <v>3160000</v>
      </c>
      <c r="L15" s="144">
        <f>Table24232567891011121314151620[HARGA POKOK]*Table24232567891011121314151620[STOK]</f>
        <v>2832000</v>
      </c>
      <c r="M15" s="144">
        <f>Table24232567891011121314151620[HARGA JUAL]*Table24232567891011121314151620[STOK]</f>
        <v>3840000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48</v>
      </c>
      <c r="G16" s="142">
        <v>2</v>
      </c>
      <c r="H16" s="141">
        <f>(Table24232567891011121314151620[[#This Row],[STOK]]-Table24232567891011121314151620[[#This Row],[TERJUAL]])</f>
        <v>46</v>
      </c>
      <c r="I16" s="143">
        <f>(Table24232567891011121314151620[HARGA JUAL]*Table24232567891011121314151620[TERJUAL])-(Table24232567891011121314151620[HARGA POKOK]*Table24232567891011121314151620[TERJUAL])</f>
        <v>55000</v>
      </c>
      <c r="J16" s="143">
        <f>(Table24232567891011121314151620[HARGA JUAL]*Table24232567891011121314151620[TERJUAL])</f>
        <v>200000</v>
      </c>
      <c r="K16" s="143">
        <f>Table24232567891011121314151620[HARGA JUAL]*Table24232567891011121314151620[SISA]</f>
        <v>4600000</v>
      </c>
      <c r="L16" s="144">
        <f>Table24232567891011121314151620[HARGA POKOK]*Table24232567891011121314151620[STOK]</f>
        <v>3480000</v>
      </c>
      <c r="M16" s="144">
        <f>Table24232567891011121314151620[HARGA JUAL]*Table24232567891011121314151620[STOK]</f>
        <v>4800000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50</v>
      </c>
      <c r="G17" s="142"/>
      <c r="H17" s="141">
        <f>(Table24232567891011121314151620[[#This Row],[STOK]]-Table24232567891011121314151620[[#This Row],[TERJUAL]])</f>
        <v>50</v>
      </c>
      <c r="I17" s="143">
        <f>(Table24232567891011121314151620[HARGA JUAL]*Table24232567891011121314151620[TERJUAL])-(Table24232567891011121314151620[HARGA POKOK]*Table24232567891011121314151620[TERJUAL])</f>
        <v>0</v>
      </c>
      <c r="J17" s="143">
        <f>(Table24232567891011121314151620[HARGA JUAL]*Table24232567891011121314151620[TERJUAL])</f>
        <v>0</v>
      </c>
      <c r="K17" s="143">
        <f>Table24232567891011121314151620[HARGA JUAL]*Table24232567891011121314151620[SISA]</f>
        <v>4250000</v>
      </c>
      <c r="L17" s="144">
        <f>Table24232567891011121314151620[HARGA POKOK]*Table24232567891011121314151620[STOK]</f>
        <v>3300000</v>
      </c>
      <c r="M17" s="144">
        <f>Table24232567891011121314151620[HARGA JUAL]*Table24232567891011121314151620[STOK]</f>
        <v>4250000</v>
      </c>
      <c r="N17" s="145" t="s">
        <v>292</v>
      </c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548</v>
      </c>
      <c r="G18" s="142">
        <v>4</v>
      </c>
      <c r="H18" s="141">
        <f>(Table24232567891011121314151620[[#This Row],[STOK]]-Table24232567891011121314151620[[#This Row],[TERJUAL]])</f>
        <v>544</v>
      </c>
      <c r="I18" s="143">
        <f>(Table24232567891011121314151620[HARGA JUAL]*Table24232567891011121314151620[TERJUAL])-(Table24232567891011121314151620[HARGA POKOK]*Table24232567891011121314151620[TERJUAL])</f>
        <v>10000</v>
      </c>
      <c r="J18" s="143">
        <f>(Table24232567891011121314151620[HARGA JUAL]*Table24232567891011121314151620[TERJUAL])</f>
        <v>100000</v>
      </c>
      <c r="K18" s="143">
        <f>Table24232567891011121314151620[HARGA JUAL]*Table24232567891011121314151620[SISA]</f>
        <v>13600000</v>
      </c>
      <c r="L18" s="144">
        <f>Table24232567891011121314151620[HARGA POKOK]*Table24232567891011121314151620[STOK]</f>
        <v>12330000</v>
      </c>
      <c r="M18" s="144">
        <f>Table24232567891011121314151620[HARGA JUAL]*Table24232567891011121314151620[STOK]</f>
        <v>13700000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22</v>
      </c>
      <c r="G19" s="142">
        <v>6</v>
      </c>
      <c r="H19" s="141">
        <f>(Table24232567891011121314151620[[#This Row],[STOK]]-Table24232567891011121314151620[[#This Row],[TERJUAL]])</f>
        <v>16</v>
      </c>
      <c r="I19" s="143">
        <f>(Table24232567891011121314151620[HARGA JUAL]*Table24232567891011121314151620[TERJUAL])-(Table24232567891011121314151620[HARGA POKOK]*Table24232567891011121314151620[TERJUAL])</f>
        <v>144000</v>
      </c>
      <c r="J19" s="143">
        <f>(Table24232567891011121314151620[HARGA JUAL]*Table24232567891011121314151620[TERJUAL])</f>
        <v>480000</v>
      </c>
      <c r="K19" s="143">
        <f>Table24232567891011121314151620[HARGA JUAL]*Table24232567891011121314151620[SISA]</f>
        <v>1280000</v>
      </c>
      <c r="L19" s="144">
        <f>Table24232567891011121314151620[HARGA POKOK]*Table24232567891011121314151620[STOK]</f>
        <v>1232000</v>
      </c>
      <c r="M19" s="144">
        <f>Table24232567891011121314151620[HARGA JUAL]*Table24232567891011121314151620[STOK]</f>
        <v>1760000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2</v>
      </c>
      <c r="G20" s="142">
        <v>4</v>
      </c>
      <c r="H20" s="141">
        <f>(Table24232567891011121314151620[[#This Row],[STOK]]-Table24232567891011121314151620[[#This Row],[TERJUAL]])</f>
        <v>-2</v>
      </c>
      <c r="I20" s="143">
        <f>(Table24232567891011121314151620[HARGA JUAL]*Table24232567891011121314151620[TERJUAL])-(Table24232567891011121314151620[HARGA POKOK]*Table24232567891011121314151620[TERJUAL])</f>
        <v>80000</v>
      </c>
      <c r="J20" s="143">
        <f>(Table24232567891011121314151620[HARGA JUAL]*Table24232567891011121314151620[TERJUAL])</f>
        <v>240000</v>
      </c>
      <c r="K20" s="143">
        <f>Table24232567891011121314151620[HARGA JUAL]*Table24232567891011121314151620[SISA]</f>
        <v>-120000</v>
      </c>
      <c r="L20" s="144">
        <f>Table24232567891011121314151620[HARGA POKOK]*Table24232567891011121314151620[STOK]</f>
        <v>80000</v>
      </c>
      <c r="M20" s="144">
        <f>Table24232567891011121314151620[HARGA JUAL]*Table24232567891011121314151620[STOK]</f>
        <v>120000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76</v>
      </c>
      <c r="G21" s="142">
        <v>2</v>
      </c>
      <c r="H21" s="141">
        <f>(Table24232567891011121314151620[[#This Row],[STOK]]-Table24232567891011121314151620[[#This Row],[TERJUAL]])</f>
        <v>74</v>
      </c>
      <c r="I21" s="143">
        <f>(Table24232567891011121314151620[HARGA JUAL]*Table24232567891011121314151620[TERJUAL])-(Table24232567891011121314151620[HARGA POKOK]*Table24232567891011121314151620[TERJUAL])</f>
        <v>23000</v>
      </c>
      <c r="J21" s="143">
        <f>(Table24232567891011121314151620[HARGA JUAL]*Table24232567891011121314151620[TERJUAL])</f>
        <v>44000</v>
      </c>
      <c r="K21" s="143">
        <f>Table24232567891011121314151620[HARGA JUAL]*Table24232567891011121314151620[SISA]</f>
        <v>1628000</v>
      </c>
      <c r="L21" s="144">
        <f>Table24232567891011121314151620[HARGA POKOK]*Table24232567891011121314151620[STOK]</f>
        <v>798000</v>
      </c>
      <c r="M21" s="144">
        <f>Table24232567891011121314151620[HARGA JUAL]*Table24232567891011121314151620[STOK]</f>
        <v>1672000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52</v>
      </c>
      <c r="G22" s="142">
        <v>4</v>
      </c>
      <c r="H22" s="141">
        <f>(Table24232567891011121314151620[[#This Row],[STOK]]-Table24232567891011121314151620[[#This Row],[TERJUAL]])</f>
        <v>48</v>
      </c>
      <c r="I22" s="143">
        <f>(Table24232567891011121314151620[HARGA JUAL]*Table24232567891011121314151620[TERJUAL])-(Table24232567891011121314151620[HARGA POKOK]*Table24232567891011121314151620[TERJUAL])</f>
        <v>80000</v>
      </c>
      <c r="J22" s="143">
        <f>(Table24232567891011121314151620[HARGA JUAL]*Table24232567891011121314151620[TERJUAL])</f>
        <v>320000</v>
      </c>
      <c r="K22" s="143">
        <f>Table24232567891011121314151620[HARGA JUAL]*Table24232567891011121314151620[SISA]</f>
        <v>3840000</v>
      </c>
      <c r="L22" s="144">
        <f>Table24232567891011121314151620[HARGA POKOK]*Table24232567891011121314151620[STOK]</f>
        <v>3120000</v>
      </c>
      <c r="M22" s="144">
        <f>Table24232567891011121314151620[HARGA JUAL]*Table24232567891011121314151620[STOK]</f>
        <v>4160000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69</v>
      </c>
      <c r="G23" s="142">
        <v>2</v>
      </c>
      <c r="H23" s="141">
        <f>(Table24232567891011121314151620[[#This Row],[STOK]]-Table24232567891011121314151620[[#This Row],[TERJUAL]])</f>
        <v>67</v>
      </c>
      <c r="I23" s="143">
        <f>(Table24232567891011121314151620[HARGA JUAL]*Table24232567891011121314151620[TERJUAL])-(Table24232567891011121314151620[HARGA POKOK]*Table24232567891011121314151620[TERJUAL])</f>
        <v>21000</v>
      </c>
      <c r="J23" s="143">
        <f>(Table24232567891011121314151620[HARGA JUAL]*Table24232567891011121314151620[TERJUAL])</f>
        <v>50000</v>
      </c>
      <c r="K23" s="143">
        <f>Table24232567891011121314151620[HARGA JUAL]*Table24232567891011121314151620[SISA]</f>
        <v>1675000</v>
      </c>
      <c r="L23" s="144">
        <f>Table24232567891011121314151620[HARGA POKOK]*Table24232567891011121314151620[STOK]</f>
        <v>1000500</v>
      </c>
      <c r="M23" s="144">
        <f>Table24232567891011121314151620[HARGA JUAL]*Table24232567891011121314151620[STOK]</f>
        <v>1725000</v>
      </c>
      <c r="N23" s="145"/>
    </row>
    <row r="24" spans="1:14" x14ac:dyDescent="0.25">
      <c r="A24" s="283">
        <v>20</v>
      </c>
      <c r="B24" s="284" t="s">
        <v>28</v>
      </c>
      <c r="C24" s="284" t="s">
        <v>52</v>
      </c>
      <c r="D24" s="285">
        <v>30000</v>
      </c>
      <c r="E24" s="285">
        <v>15000</v>
      </c>
      <c r="F24" s="286">
        <v>58</v>
      </c>
      <c r="G24" s="287">
        <v>14</v>
      </c>
      <c r="H24" s="286">
        <f>(Table24232567891011121314151620[[#This Row],[STOK]]-Table24232567891011121314151620[[#This Row],[TERJUAL]])</f>
        <v>44</v>
      </c>
      <c r="I24" s="288">
        <f>(Table24232567891011121314151620[HARGA JUAL]*Table24232567891011121314151620[TERJUAL])-(Table24232567891011121314151620[HARGA POKOK]*Table24232567891011121314151620[TERJUAL])</f>
        <v>-210000</v>
      </c>
      <c r="J24" s="288">
        <f>(Table24232567891011121314151620[HARGA JUAL]*Table24232567891011121314151620[TERJUAL])</f>
        <v>210000</v>
      </c>
      <c r="K24" s="288">
        <f>Table24232567891011121314151620[HARGA JUAL]*Table24232567891011121314151620[SISA]</f>
        <v>660000</v>
      </c>
      <c r="L24" s="289">
        <f>Table24232567891011121314151620[HARGA POKOK]*Table24232567891011121314151620[STOK]</f>
        <v>1740000</v>
      </c>
      <c r="M24" s="289">
        <f>Table24232567891011121314151620[HARGA JUAL]*Table24232567891011121314151620[STOK]</f>
        <v>870000</v>
      </c>
      <c r="N24" s="290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4500</v>
      </c>
      <c r="E25" s="140">
        <v>10000</v>
      </c>
      <c r="F25" s="141">
        <v>16</v>
      </c>
      <c r="G25" s="142">
        <v>3</v>
      </c>
      <c r="H25" s="141">
        <f>(Table24232567891011121314151620[[#This Row],[STOK]]-Table24232567891011121314151620[[#This Row],[TERJUAL]])</f>
        <v>13</v>
      </c>
      <c r="I25" s="143">
        <f>(Table24232567891011121314151620[HARGA JUAL]*Table24232567891011121314151620[TERJUAL])-(Table24232567891011121314151620[HARGA POKOK]*Table24232567891011121314151620[TERJUAL])</f>
        <v>16500</v>
      </c>
      <c r="J25" s="143">
        <f>(Table24232567891011121314151620[HARGA JUAL]*Table24232567891011121314151620[TERJUAL])</f>
        <v>30000</v>
      </c>
      <c r="K25" s="143">
        <f>Table24232567891011121314151620[HARGA JUAL]*Table24232567891011121314151620[SISA]</f>
        <v>130000</v>
      </c>
      <c r="L25" s="144">
        <f>Table24232567891011121314151620[HARGA POKOK]*Table24232567891011121314151620[STOK]</f>
        <v>72000</v>
      </c>
      <c r="M25" s="144">
        <f>Table24232567891011121314151620[HARGA JUAL]*Table24232567891011121314151620[STOK]</f>
        <v>160000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83</v>
      </c>
      <c r="G26" s="142">
        <v>2</v>
      </c>
      <c r="H26" s="141">
        <f>(Table24232567891011121314151620[[#This Row],[STOK]]-Table24232567891011121314151620[[#This Row],[TERJUAL]])</f>
        <v>81</v>
      </c>
      <c r="I26" s="143">
        <f>(Table24232567891011121314151620[HARGA JUAL]*Table24232567891011121314151620[TERJUAL])-(Table24232567891011121314151620[HARGA POKOK]*Table24232567891011121314151620[TERJUAL])</f>
        <v>25000</v>
      </c>
      <c r="J26" s="143">
        <f>(Table24232567891011121314151620[HARGA JUAL]*Table24232567891011121314151620[TERJUAL])</f>
        <v>120000</v>
      </c>
      <c r="K26" s="143">
        <f>Table24232567891011121314151620[HARGA JUAL]*Table24232567891011121314151620[SISA]</f>
        <v>4860000</v>
      </c>
      <c r="L26" s="144">
        <f>Table24232567891011121314151620[HARGA POKOK]*Table24232567891011121314151620[STOK]</f>
        <v>3942500</v>
      </c>
      <c r="M26" s="144">
        <f>Table24232567891011121314151620[HARGA JUAL]*Table24232567891011121314151620[STOK]</f>
        <v>4980000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2</v>
      </c>
      <c r="G27" s="142">
        <v>1</v>
      </c>
      <c r="H27" s="141">
        <f>(Table24232567891011121314151620[[#This Row],[STOK]]-Table24232567891011121314151620[[#This Row],[TERJUAL]])</f>
        <v>1</v>
      </c>
      <c r="I27" s="143">
        <f>(Table24232567891011121314151620[HARGA JUAL]*Table24232567891011121314151620[TERJUAL])-(Table24232567891011121314151620[HARGA POKOK]*Table24232567891011121314151620[TERJUAL])</f>
        <v>28500</v>
      </c>
      <c r="J27" s="143">
        <f>(Table24232567891011121314151620[HARGA JUAL]*Table24232567891011121314151620[TERJUAL])</f>
        <v>143000</v>
      </c>
      <c r="K27" s="143">
        <f>Table24232567891011121314151620[HARGA JUAL]*Table24232567891011121314151620[SISA]</f>
        <v>143000</v>
      </c>
      <c r="L27" s="144">
        <f>Table24232567891011121314151620[HARGA POKOK]*Table24232567891011121314151620[STOK]</f>
        <v>229000</v>
      </c>
      <c r="M27" s="144">
        <f>Table24232567891011121314151620[HARGA JUAL]*Table24232567891011121314151620[STOK]</f>
        <v>286000</v>
      </c>
      <c r="N27" s="145"/>
    </row>
    <row r="28" spans="1:14" x14ac:dyDescent="0.25">
      <c r="A28" s="137">
        <v>24</v>
      </c>
      <c r="B28" s="138" t="s">
        <v>29</v>
      </c>
      <c r="C28" s="138" t="s">
        <v>293</v>
      </c>
      <c r="D28" s="140">
        <v>68500</v>
      </c>
      <c r="E28" s="140">
        <v>120000</v>
      </c>
      <c r="F28" s="141">
        <v>13</v>
      </c>
      <c r="G28" s="142"/>
      <c r="H28" s="141">
        <f>(Table24232567891011121314151620[[#This Row],[STOK]]-Table24232567891011121314151620[[#This Row],[TERJUAL]])</f>
        <v>13</v>
      </c>
      <c r="I28" s="143">
        <f>(Table24232567891011121314151620[HARGA JUAL]*Table24232567891011121314151620[TERJUAL])-(Table24232567891011121314151620[HARGA POKOK]*Table24232567891011121314151620[TERJUAL])</f>
        <v>0</v>
      </c>
      <c r="J28" s="143">
        <f>(Table24232567891011121314151620[HARGA JUAL]*Table24232567891011121314151620[TERJUAL])</f>
        <v>0</v>
      </c>
      <c r="K28" s="143">
        <f>Table24232567891011121314151620[HARGA JUAL]*Table24232567891011121314151620[SISA]</f>
        <v>1560000</v>
      </c>
      <c r="L28" s="144">
        <f>Table24232567891011121314151620[HARGA POKOK]*Table24232567891011121314151620[STOK]</f>
        <v>890500</v>
      </c>
      <c r="M28" s="144">
        <f>Table24232567891011121314151620[HARGA JUAL]*Table24232567891011121314151620[STOK]</f>
        <v>1560000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(Table24232567891011121314151620[[#This Row],[STOK]]-Table24232567891011121314151620[[#This Row],[TERJUAL]])</f>
        <v>0</v>
      </c>
      <c r="I29" s="143">
        <f>(Table24232567891011121314151620[HARGA JUAL]*Table24232567891011121314151620[TERJUAL])-(Table24232567891011121314151620[HARGA POKOK]*Table24232567891011121314151620[TERJUAL])</f>
        <v>0</v>
      </c>
      <c r="J29" s="143">
        <f>(Table24232567891011121314151620[HARGA JUAL]*Table24232567891011121314151620[TERJUAL])</f>
        <v>0</v>
      </c>
      <c r="K29" s="143">
        <f>Table24232567891011121314151620[HARGA JUAL]*Table24232567891011121314151620[SISA]</f>
        <v>0</v>
      </c>
      <c r="L29" s="144">
        <f>Table24232567891011121314151620[HARGA POKOK]*Table24232567891011121314151620[STOK]</f>
        <v>0</v>
      </c>
      <c r="M29" s="144">
        <f>Table24232567891011121314151620[HARGA JUAL]*Table24232567891011121314151620[STOK]</f>
        <v>0</v>
      </c>
      <c r="N29" s="145"/>
    </row>
    <row r="30" spans="1:14" x14ac:dyDescent="0.25">
      <c r="A30" s="137"/>
      <c r="B30" s="138" t="s">
        <v>30</v>
      </c>
      <c r="C30" s="138" t="s">
        <v>315</v>
      </c>
      <c r="D30" s="140">
        <v>35000</v>
      </c>
      <c r="E30" s="140">
        <v>55000</v>
      </c>
      <c r="F30" s="141">
        <v>40</v>
      </c>
      <c r="G30" s="142">
        <v>1</v>
      </c>
      <c r="H30" s="141">
        <f>(Table24232567891011121314151620[[#This Row],[STOK]]-Table24232567891011121314151620[[#This Row],[TERJUAL]])</f>
        <v>39</v>
      </c>
      <c r="I30" s="143">
        <f>(Table24232567891011121314151620[HARGA JUAL]*Table24232567891011121314151620[TERJUAL])-(Table24232567891011121314151620[HARGA POKOK]*Table24232567891011121314151620[TERJUAL])</f>
        <v>20000</v>
      </c>
      <c r="J30" s="143">
        <f>(Table24232567891011121314151620[HARGA JUAL]*Table24232567891011121314151620[TERJUAL])</f>
        <v>55000</v>
      </c>
      <c r="K30" s="143">
        <f>Table24232567891011121314151620[HARGA JUAL]*Table24232567891011121314151620[SISA]</f>
        <v>2145000</v>
      </c>
      <c r="L30" s="144">
        <f>Table24232567891011121314151620[HARGA POKOK]*Table24232567891011121314151620[STOK]</f>
        <v>1400000</v>
      </c>
      <c r="M30" s="144">
        <f>Table24232567891011121314151620[HARGA JUAL]*Table24232567891011121314151620[STOK]</f>
        <v>2200000</v>
      </c>
      <c r="N30" s="145"/>
    </row>
    <row r="31" spans="1:14" x14ac:dyDescent="0.25">
      <c r="A31" s="137"/>
      <c r="B31" s="138" t="s">
        <v>30</v>
      </c>
      <c r="C31" s="138" t="s">
        <v>294</v>
      </c>
      <c r="D31" s="140">
        <v>15000</v>
      </c>
      <c r="E31" s="140">
        <v>30000</v>
      </c>
      <c r="F31" s="141">
        <v>10</v>
      </c>
      <c r="G31" s="142">
        <v>4</v>
      </c>
      <c r="H31" s="141">
        <f>(Table24232567891011121314151620[[#This Row],[STOK]]-Table24232567891011121314151620[[#This Row],[TERJUAL]])</f>
        <v>6</v>
      </c>
      <c r="I31" s="143">
        <f>(Table24232567891011121314151620[HARGA JUAL]*Table24232567891011121314151620[TERJUAL])-(Table24232567891011121314151620[HARGA POKOK]*Table24232567891011121314151620[TERJUAL])</f>
        <v>60000</v>
      </c>
      <c r="J31" s="143">
        <f>(Table24232567891011121314151620[HARGA JUAL]*Table24232567891011121314151620[TERJUAL])</f>
        <v>120000</v>
      </c>
      <c r="K31" s="143">
        <f>Table24232567891011121314151620[HARGA JUAL]*Table24232567891011121314151620[SISA]</f>
        <v>180000</v>
      </c>
      <c r="L31" s="144">
        <f>Table24232567891011121314151620[HARGA POKOK]*Table24232567891011121314151620[STOK]</f>
        <v>150000</v>
      </c>
      <c r="M31" s="144">
        <f>Table24232567891011121314151620[HARGA JUAL]*Table24232567891011121314151620[STOK]</f>
        <v>300000</v>
      </c>
      <c r="N31" s="145"/>
    </row>
    <row r="32" spans="1:14" x14ac:dyDescent="0.25">
      <c r="A32" s="137">
        <v>26</v>
      </c>
      <c r="B32" s="138" t="s">
        <v>30</v>
      </c>
      <c r="C32" s="138" t="s">
        <v>58</v>
      </c>
      <c r="D32" s="140">
        <v>10000</v>
      </c>
      <c r="E32" s="140">
        <v>18000</v>
      </c>
      <c r="F32" s="141">
        <v>12</v>
      </c>
      <c r="G32" s="142">
        <v>7</v>
      </c>
      <c r="H32" s="141">
        <f>(Table24232567891011121314151620[[#This Row],[STOK]]-Table24232567891011121314151620[[#This Row],[TERJUAL]])</f>
        <v>5</v>
      </c>
      <c r="I32" s="143">
        <f>(Table24232567891011121314151620[HARGA JUAL]*Table24232567891011121314151620[TERJUAL])-(Table24232567891011121314151620[HARGA POKOK]*Table24232567891011121314151620[TERJUAL])</f>
        <v>56000</v>
      </c>
      <c r="J32" s="143">
        <f>(Table24232567891011121314151620[HARGA JUAL]*Table24232567891011121314151620[TERJUAL])</f>
        <v>126000</v>
      </c>
      <c r="K32" s="143">
        <f>Table24232567891011121314151620[HARGA JUAL]*Table24232567891011121314151620[SISA]</f>
        <v>90000</v>
      </c>
      <c r="L32" s="144">
        <f>Table24232567891011121314151620[HARGA POKOK]*Table24232567891011121314151620[STOK]</f>
        <v>120000</v>
      </c>
      <c r="M32" s="144">
        <f>Table24232567891011121314151620[HARGA JUAL]*Table24232567891011121314151620[STOK]</f>
        <v>216000</v>
      </c>
      <c r="N32" s="145"/>
    </row>
    <row r="33" spans="1:14" x14ac:dyDescent="0.25">
      <c r="A33" s="137">
        <v>27</v>
      </c>
      <c r="B33" s="138" t="s">
        <v>30</v>
      </c>
      <c r="C33" s="138" t="s">
        <v>59</v>
      </c>
      <c r="D33" s="140">
        <v>27500</v>
      </c>
      <c r="E33" s="140">
        <v>45000</v>
      </c>
      <c r="F33" s="141">
        <v>12</v>
      </c>
      <c r="G33" s="142">
        <v>1</v>
      </c>
      <c r="H33" s="141">
        <f>(Table24232567891011121314151620[[#This Row],[STOK]]-Table24232567891011121314151620[[#This Row],[TERJUAL]])</f>
        <v>11</v>
      </c>
      <c r="I33" s="143">
        <f>(Table24232567891011121314151620[HARGA JUAL]*Table24232567891011121314151620[TERJUAL])-(Table24232567891011121314151620[HARGA POKOK]*Table24232567891011121314151620[TERJUAL])</f>
        <v>17500</v>
      </c>
      <c r="J33" s="143">
        <f>(Table24232567891011121314151620[HARGA JUAL]*Table24232567891011121314151620[TERJUAL])</f>
        <v>45000</v>
      </c>
      <c r="K33" s="143">
        <f>Table24232567891011121314151620[HARGA JUAL]*Table24232567891011121314151620[SISA]</f>
        <v>495000</v>
      </c>
      <c r="L33" s="144">
        <f>Table24232567891011121314151620[HARGA POKOK]*Table24232567891011121314151620[STOK]</f>
        <v>330000</v>
      </c>
      <c r="M33" s="144">
        <f>Table24232567891011121314151620[HARGA JUAL]*Table24232567891011121314151620[STOK]</f>
        <v>540000</v>
      </c>
      <c r="N33" s="145"/>
    </row>
    <row r="34" spans="1:14" x14ac:dyDescent="0.25">
      <c r="A34" s="137">
        <v>28</v>
      </c>
      <c r="B34" s="138" t="s">
        <v>30</v>
      </c>
      <c r="C34" s="138" t="s">
        <v>60</v>
      </c>
      <c r="D34" s="140">
        <v>12500</v>
      </c>
      <c r="E34" s="140">
        <v>16000</v>
      </c>
      <c r="F34" s="141">
        <v>322</v>
      </c>
      <c r="G34" s="142">
        <v>119</v>
      </c>
      <c r="H34" s="141">
        <f>(Table24232567891011121314151620[[#This Row],[STOK]]-Table24232567891011121314151620[[#This Row],[TERJUAL]])</f>
        <v>203</v>
      </c>
      <c r="I34" s="143">
        <f>(Table24232567891011121314151620[HARGA JUAL]*Table24232567891011121314151620[TERJUAL])-(Table24232567891011121314151620[HARGA POKOK]*Table24232567891011121314151620[TERJUAL])</f>
        <v>416500</v>
      </c>
      <c r="J34" s="143">
        <f>(Table24232567891011121314151620[HARGA JUAL]*Table24232567891011121314151620[TERJUAL])</f>
        <v>1904000</v>
      </c>
      <c r="K34" s="143">
        <f>Table24232567891011121314151620[HARGA JUAL]*Table24232567891011121314151620[SISA]</f>
        <v>3248000</v>
      </c>
      <c r="L34" s="144">
        <f>Table24232567891011121314151620[HARGA POKOK]*Table24232567891011121314151620[STOK]</f>
        <v>4025000</v>
      </c>
      <c r="M34" s="144">
        <f>Table24232567891011121314151620[HARGA JUAL]*Table24232567891011121314151620[STOK]</f>
        <v>5152000</v>
      </c>
      <c r="N34" s="145"/>
    </row>
    <row r="35" spans="1:14" x14ac:dyDescent="0.25">
      <c r="A35" s="137">
        <v>29</v>
      </c>
      <c r="B35" s="138" t="s">
        <v>30</v>
      </c>
      <c r="C35" s="138" t="s">
        <v>13</v>
      </c>
      <c r="D35" s="140">
        <v>33500</v>
      </c>
      <c r="E35" s="140">
        <v>50000</v>
      </c>
      <c r="F35" s="141">
        <v>9</v>
      </c>
      <c r="G35" s="142">
        <v>8</v>
      </c>
      <c r="H35" s="141">
        <f>(Table24232567891011121314151620[[#This Row],[STOK]]-Table24232567891011121314151620[[#This Row],[TERJUAL]])</f>
        <v>1</v>
      </c>
      <c r="I35" s="143">
        <f>(Table24232567891011121314151620[HARGA JUAL]*Table24232567891011121314151620[TERJUAL])-(Table24232567891011121314151620[HARGA POKOK]*Table24232567891011121314151620[TERJUAL])</f>
        <v>132000</v>
      </c>
      <c r="J35" s="143">
        <f>(Table24232567891011121314151620[HARGA JUAL]*Table24232567891011121314151620[TERJUAL])</f>
        <v>400000</v>
      </c>
      <c r="K35" s="143">
        <f>Table24232567891011121314151620[HARGA JUAL]*Table24232567891011121314151620[SISA]</f>
        <v>50000</v>
      </c>
      <c r="L35" s="144">
        <f>Table24232567891011121314151620[HARGA POKOK]*Table24232567891011121314151620[STOK]</f>
        <v>301500</v>
      </c>
      <c r="M35" s="144">
        <f>Table24232567891011121314151620[HARGA JUAL]*Table24232567891011121314151620[STOK]</f>
        <v>450000</v>
      </c>
      <c r="N35" s="145"/>
    </row>
    <row r="36" spans="1:14" x14ac:dyDescent="0.25">
      <c r="A36" s="137">
        <v>30</v>
      </c>
      <c r="B36" s="138" t="s">
        <v>30</v>
      </c>
      <c r="C36" s="193" t="s">
        <v>14</v>
      </c>
      <c r="D36" s="140">
        <v>8500</v>
      </c>
      <c r="E36" s="140">
        <v>12000</v>
      </c>
      <c r="F36" s="141">
        <v>136</v>
      </c>
      <c r="G36" s="142">
        <v>15</v>
      </c>
      <c r="H36" s="141">
        <f>(Table24232567891011121314151620[[#This Row],[STOK]]-Table24232567891011121314151620[[#This Row],[TERJUAL]])</f>
        <v>121</v>
      </c>
      <c r="I36" s="143">
        <f>(Table24232567891011121314151620[HARGA JUAL]*Table24232567891011121314151620[TERJUAL])-(Table24232567891011121314151620[HARGA POKOK]*Table24232567891011121314151620[TERJUAL])</f>
        <v>52500</v>
      </c>
      <c r="J36" s="143">
        <f>(Table24232567891011121314151620[HARGA JUAL]*Table24232567891011121314151620[TERJUAL])</f>
        <v>180000</v>
      </c>
      <c r="K36" s="143">
        <f>Table24232567891011121314151620[HARGA JUAL]*Table24232567891011121314151620[SISA]</f>
        <v>1452000</v>
      </c>
      <c r="L36" s="144">
        <f>Table24232567891011121314151620[HARGA POKOK]*Table24232567891011121314151620[STOK]</f>
        <v>1156000</v>
      </c>
      <c r="M36" s="144">
        <f>Table24232567891011121314151620[HARGA JUAL]*Table24232567891011121314151620[STOK]</f>
        <v>1632000</v>
      </c>
      <c r="N36" s="145"/>
    </row>
    <row r="37" spans="1:14" x14ac:dyDescent="0.25">
      <c r="A37" s="137">
        <v>31</v>
      </c>
      <c r="B37" s="138" t="s">
        <v>30</v>
      </c>
      <c r="C37" s="138" t="s">
        <v>15</v>
      </c>
      <c r="D37" s="140">
        <v>30500</v>
      </c>
      <c r="E37" s="140">
        <v>45000</v>
      </c>
      <c r="F37" s="141">
        <v>3</v>
      </c>
      <c r="G37" s="142">
        <v>3</v>
      </c>
      <c r="H37" s="141">
        <f>(Table24232567891011121314151620[[#This Row],[STOK]]-Table24232567891011121314151620[[#This Row],[TERJUAL]])</f>
        <v>0</v>
      </c>
      <c r="I37" s="143">
        <f>(Table24232567891011121314151620[HARGA JUAL]*Table24232567891011121314151620[TERJUAL])-(Table24232567891011121314151620[HARGA POKOK]*Table24232567891011121314151620[TERJUAL])</f>
        <v>43500</v>
      </c>
      <c r="J37" s="143">
        <f>(Table24232567891011121314151620[HARGA JUAL]*Table24232567891011121314151620[TERJUAL])</f>
        <v>135000</v>
      </c>
      <c r="K37" s="143">
        <f>Table24232567891011121314151620[HARGA JUAL]*Table24232567891011121314151620[SISA]</f>
        <v>0</v>
      </c>
      <c r="L37" s="144">
        <f>Table24232567891011121314151620[HARGA POKOK]*Table24232567891011121314151620[STOK]</f>
        <v>91500</v>
      </c>
      <c r="M37" s="144">
        <f>Table24232567891011121314151620[HARGA JUAL]*Table24232567891011121314151620[STOK]</f>
        <v>135000</v>
      </c>
      <c r="N37" s="145"/>
    </row>
    <row r="38" spans="1:14" x14ac:dyDescent="0.25">
      <c r="A38" s="137">
        <v>32</v>
      </c>
      <c r="B38" s="138" t="s">
        <v>30</v>
      </c>
      <c r="C38" s="138" t="s">
        <v>16</v>
      </c>
      <c r="D38" s="140">
        <v>7500</v>
      </c>
      <c r="E38" s="140">
        <v>10000</v>
      </c>
      <c r="F38" s="141">
        <v>125</v>
      </c>
      <c r="G38" s="142">
        <v>17</v>
      </c>
      <c r="H38" s="141">
        <f>(Table24232567891011121314151620[[#This Row],[STOK]]-Table24232567891011121314151620[[#This Row],[TERJUAL]])</f>
        <v>108</v>
      </c>
      <c r="I38" s="143">
        <f>(Table24232567891011121314151620[HARGA JUAL]*Table24232567891011121314151620[TERJUAL])-(Table24232567891011121314151620[HARGA POKOK]*Table24232567891011121314151620[TERJUAL])</f>
        <v>42500</v>
      </c>
      <c r="J38" s="143">
        <f>(Table24232567891011121314151620[HARGA JUAL]*Table24232567891011121314151620[TERJUAL])</f>
        <v>170000</v>
      </c>
      <c r="K38" s="143">
        <f>Table24232567891011121314151620[HARGA JUAL]*Table24232567891011121314151620[SISA]</f>
        <v>1080000</v>
      </c>
      <c r="L38" s="144">
        <f>Table24232567891011121314151620[HARGA POKOK]*Table24232567891011121314151620[STOK]</f>
        <v>937500</v>
      </c>
      <c r="M38" s="144">
        <f>Table24232567891011121314151620[HARGA JUAL]*Table24232567891011121314151620[STOK]</f>
        <v>1250000</v>
      </c>
      <c r="N38" s="145"/>
    </row>
    <row r="39" spans="1:14" x14ac:dyDescent="0.25">
      <c r="A39" s="137">
        <v>33</v>
      </c>
      <c r="B39" s="138" t="s">
        <v>35</v>
      </c>
      <c r="C39" s="138" t="s">
        <v>36</v>
      </c>
      <c r="D39" s="140">
        <v>51500</v>
      </c>
      <c r="E39" s="140">
        <v>65000</v>
      </c>
      <c r="F39" s="141">
        <v>19</v>
      </c>
      <c r="G39" s="142">
        <v>1</v>
      </c>
      <c r="H39" s="141">
        <f>(Table24232567891011121314151620[[#This Row],[STOK]]-Table24232567891011121314151620[[#This Row],[TERJUAL]])</f>
        <v>18</v>
      </c>
      <c r="I39" s="143">
        <f>(Table24232567891011121314151620[HARGA JUAL]*Table24232567891011121314151620[TERJUAL])-(Table24232567891011121314151620[HARGA POKOK]*Table24232567891011121314151620[TERJUAL])</f>
        <v>13500</v>
      </c>
      <c r="J39" s="143">
        <f>(Table24232567891011121314151620[HARGA JUAL]*Table24232567891011121314151620[TERJUAL])</f>
        <v>65000</v>
      </c>
      <c r="K39" s="143">
        <f>Table24232567891011121314151620[HARGA JUAL]*Table24232567891011121314151620[SISA]</f>
        <v>1170000</v>
      </c>
      <c r="L39" s="144">
        <f>Table24232567891011121314151620[HARGA POKOK]*Table24232567891011121314151620[STOK]</f>
        <v>978500</v>
      </c>
      <c r="M39" s="144">
        <f>Table24232567891011121314151620[HARGA JUAL]*Table24232567891011121314151620[STOK]</f>
        <v>1235000</v>
      </c>
      <c r="N39" s="145"/>
    </row>
    <row r="40" spans="1:14" x14ac:dyDescent="0.25">
      <c r="A40" s="137">
        <v>34</v>
      </c>
      <c r="B40" s="138" t="s">
        <v>35</v>
      </c>
      <c r="C40" s="138" t="s">
        <v>175</v>
      </c>
      <c r="D40" s="140">
        <v>27500</v>
      </c>
      <c r="E40" s="140">
        <v>40000</v>
      </c>
      <c r="F40" s="141">
        <v>67</v>
      </c>
      <c r="G40" s="142">
        <v>1</v>
      </c>
      <c r="H40" s="141">
        <f>(Table24232567891011121314151620[[#This Row],[STOK]]-Table24232567891011121314151620[[#This Row],[TERJUAL]])</f>
        <v>66</v>
      </c>
      <c r="I40" s="143">
        <f>(Table24232567891011121314151620[HARGA JUAL]*Table24232567891011121314151620[TERJUAL])-(Table24232567891011121314151620[HARGA POKOK]*Table24232567891011121314151620[TERJUAL])</f>
        <v>12500</v>
      </c>
      <c r="J40" s="143">
        <f>(Table24232567891011121314151620[HARGA JUAL]*Table24232567891011121314151620[TERJUAL])</f>
        <v>40000</v>
      </c>
      <c r="K40" s="143">
        <f>Table24232567891011121314151620[HARGA JUAL]*Table24232567891011121314151620[SISA]</f>
        <v>2640000</v>
      </c>
      <c r="L40" s="144">
        <f>Table24232567891011121314151620[HARGA POKOK]*Table24232567891011121314151620[STOK]</f>
        <v>1842500</v>
      </c>
      <c r="M40" s="144">
        <f>Table24232567891011121314151620[HARGA JUAL]*Table24232567891011121314151620[STOK]</f>
        <v>2680000</v>
      </c>
      <c r="N40" s="145"/>
    </row>
    <row r="41" spans="1:14" x14ac:dyDescent="0.25">
      <c r="A41" s="137">
        <v>35</v>
      </c>
      <c r="B41" s="138" t="s">
        <v>31</v>
      </c>
      <c r="C41" s="138" t="s">
        <v>180</v>
      </c>
      <c r="D41" s="140">
        <v>21500</v>
      </c>
      <c r="E41" s="140">
        <v>40000</v>
      </c>
      <c r="F41" s="141">
        <v>76</v>
      </c>
      <c r="G41" s="142">
        <v>2</v>
      </c>
      <c r="H41" s="141">
        <f>(Table24232567891011121314151620[[#This Row],[STOK]]-Table24232567891011121314151620[[#This Row],[TERJUAL]])</f>
        <v>74</v>
      </c>
      <c r="I41" s="143">
        <f>(Table24232567891011121314151620[HARGA JUAL]*Table24232567891011121314151620[TERJUAL])-(Table24232567891011121314151620[HARGA POKOK]*Table24232567891011121314151620[TERJUAL])</f>
        <v>37000</v>
      </c>
      <c r="J41" s="143">
        <f>(Table24232567891011121314151620[HARGA JUAL]*Table24232567891011121314151620[TERJUAL])</f>
        <v>80000</v>
      </c>
      <c r="K41" s="143">
        <f>Table24232567891011121314151620[HARGA JUAL]*Table24232567891011121314151620[SISA]</f>
        <v>2960000</v>
      </c>
      <c r="L41" s="144">
        <f>Table24232567891011121314151620[HARGA POKOK]*Table24232567891011121314151620[STOK]</f>
        <v>1634000</v>
      </c>
      <c r="M41" s="144">
        <f>Table24232567891011121314151620[HARGA JUAL]*Table24232567891011121314151620[STOK]</f>
        <v>3040000</v>
      </c>
      <c r="N41" s="145"/>
    </row>
    <row r="42" spans="1:14" x14ac:dyDescent="0.25">
      <c r="A42" s="137">
        <v>36</v>
      </c>
      <c r="B42" s="138" t="s">
        <v>31</v>
      </c>
      <c r="C42" s="138" t="s">
        <v>62</v>
      </c>
      <c r="D42" s="140">
        <v>25000</v>
      </c>
      <c r="E42" s="140">
        <v>15000</v>
      </c>
      <c r="F42" s="141"/>
      <c r="G42" s="142"/>
      <c r="H42" s="141">
        <f>(Table24232567891011121314151620[[#This Row],[STOK]]-Table24232567891011121314151620[[#This Row],[TERJUAL]])</f>
        <v>0</v>
      </c>
      <c r="I42" s="143">
        <f>(Table24232567891011121314151620[HARGA JUAL]*Table24232567891011121314151620[TERJUAL])-(Table24232567891011121314151620[HARGA POKOK]*Table24232567891011121314151620[TERJUAL])</f>
        <v>0</v>
      </c>
      <c r="J42" s="143">
        <f>(Table24232567891011121314151620[HARGA JUAL]*Table24232567891011121314151620[TERJUAL])</f>
        <v>0</v>
      </c>
      <c r="K42" s="143">
        <f>Table24232567891011121314151620[HARGA JUAL]*Table24232567891011121314151620[SISA]</f>
        <v>0</v>
      </c>
      <c r="L42" s="144">
        <f>Table24232567891011121314151620[HARGA POKOK]*Table24232567891011121314151620[STOK]</f>
        <v>0</v>
      </c>
      <c r="M42" s="144">
        <f>Table24232567891011121314151620[HARGA JUAL]*Table24232567891011121314151620[STOK]</f>
        <v>0</v>
      </c>
      <c r="N42" s="145"/>
    </row>
    <row r="43" spans="1:14" x14ac:dyDescent="0.25">
      <c r="A43" s="137">
        <v>37</v>
      </c>
      <c r="B43" s="138" t="s">
        <v>31</v>
      </c>
      <c r="C43" s="138" t="s">
        <v>181</v>
      </c>
      <c r="D43" s="140">
        <v>34500</v>
      </c>
      <c r="E43" s="140">
        <v>40000</v>
      </c>
      <c r="F43" s="141">
        <v>113</v>
      </c>
      <c r="G43" s="142">
        <v>2</v>
      </c>
      <c r="H43" s="141">
        <f>(Table24232567891011121314151620[[#This Row],[STOK]]-Table24232567891011121314151620[[#This Row],[TERJUAL]])</f>
        <v>111</v>
      </c>
      <c r="I43" s="143">
        <f>(Table24232567891011121314151620[HARGA JUAL]*Table24232567891011121314151620[TERJUAL])-(Table24232567891011121314151620[HARGA POKOK]*Table24232567891011121314151620[TERJUAL])</f>
        <v>11000</v>
      </c>
      <c r="J43" s="143">
        <f>(Table24232567891011121314151620[HARGA JUAL]*Table24232567891011121314151620[TERJUAL])</f>
        <v>80000</v>
      </c>
      <c r="K43" s="143">
        <f>Table24232567891011121314151620[HARGA JUAL]*Table24232567891011121314151620[SISA]</f>
        <v>4440000</v>
      </c>
      <c r="L43" s="144">
        <f>Table24232567891011121314151620[HARGA POKOK]*Table24232567891011121314151620[STOK]</f>
        <v>3898500</v>
      </c>
      <c r="M43" s="144">
        <f>Table24232567891011121314151620[HARGA JUAL]*Table24232567891011121314151620[STOK]</f>
        <v>4520000</v>
      </c>
      <c r="N43" s="145"/>
    </row>
    <row r="44" spans="1:14" x14ac:dyDescent="0.25">
      <c r="A44" s="137">
        <v>38</v>
      </c>
      <c r="B44" s="138" t="s">
        <v>31</v>
      </c>
      <c r="C44" s="138" t="s">
        <v>64</v>
      </c>
      <c r="D44" s="140">
        <v>24000</v>
      </c>
      <c r="E44" s="140">
        <v>40000</v>
      </c>
      <c r="F44" s="141"/>
      <c r="G44" s="142"/>
      <c r="H44" s="141">
        <f>(Table24232567891011121314151620[[#This Row],[STOK]]-Table24232567891011121314151620[[#This Row],[TERJUAL]])</f>
        <v>0</v>
      </c>
      <c r="I44" s="143">
        <f>(Table24232567891011121314151620[HARGA JUAL]*Table24232567891011121314151620[TERJUAL])-(Table24232567891011121314151620[HARGA POKOK]*Table24232567891011121314151620[TERJUAL])</f>
        <v>0</v>
      </c>
      <c r="J44" s="143">
        <f>(Table24232567891011121314151620[HARGA JUAL]*Table24232567891011121314151620[TERJUAL])</f>
        <v>0</v>
      </c>
      <c r="K44" s="143">
        <f>Table24232567891011121314151620[HARGA JUAL]*Table24232567891011121314151620[SISA]</f>
        <v>0</v>
      </c>
      <c r="L44" s="144">
        <f>Table24232567891011121314151620[HARGA POKOK]*Table24232567891011121314151620[STOK]</f>
        <v>0</v>
      </c>
      <c r="M44" s="144">
        <f>Table24232567891011121314151620[HARGA JUAL]*Table24232567891011121314151620[STOK]</f>
        <v>0</v>
      </c>
      <c r="N44" s="145"/>
    </row>
    <row r="45" spans="1:14" x14ac:dyDescent="0.25">
      <c r="A45" s="137">
        <v>39</v>
      </c>
      <c r="B45" s="138" t="s">
        <v>31</v>
      </c>
      <c r="C45" s="138" t="s">
        <v>322</v>
      </c>
      <c r="D45" s="140">
        <v>30000</v>
      </c>
      <c r="E45" s="140">
        <v>40000</v>
      </c>
      <c r="F45" s="141">
        <v>20</v>
      </c>
      <c r="G45" s="142">
        <v>3</v>
      </c>
      <c r="H45" s="141">
        <f>(Table24232567891011121314151620[[#This Row],[STOK]]-Table24232567891011121314151620[[#This Row],[TERJUAL]])</f>
        <v>17</v>
      </c>
      <c r="I45" s="143">
        <f>(Table24232567891011121314151620[HARGA JUAL]*Table24232567891011121314151620[TERJUAL])-(Table24232567891011121314151620[HARGA POKOK]*Table24232567891011121314151620[TERJUAL])</f>
        <v>30000</v>
      </c>
      <c r="J45" s="143">
        <f>(Table24232567891011121314151620[HARGA JUAL]*Table24232567891011121314151620[TERJUAL])</f>
        <v>120000</v>
      </c>
      <c r="K45" s="143">
        <f>Table24232567891011121314151620[HARGA JUAL]*Table24232567891011121314151620[SISA]</f>
        <v>680000</v>
      </c>
      <c r="L45" s="144">
        <f>Table24232567891011121314151620[HARGA POKOK]*Table24232567891011121314151620[STOK]</f>
        <v>600000</v>
      </c>
      <c r="M45" s="144">
        <f>Table24232567891011121314151620[HARGA JUAL]*Table24232567891011121314151620[STOK]</f>
        <v>800000</v>
      </c>
      <c r="N45" s="145"/>
    </row>
    <row r="46" spans="1:14" x14ac:dyDescent="0.25">
      <c r="A46" s="137"/>
      <c r="B46" s="138" t="s">
        <v>31</v>
      </c>
      <c r="C46" s="138" t="s">
        <v>319</v>
      </c>
      <c r="D46" s="140">
        <v>63000</v>
      </c>
      <c r="E46" s="140">
        <v>75000</v>
      </c>
      <c r="F46" s="141">
        <v>0</v>
      </c>
      <c r="G46" s="142"/>
      <c r="H46" s="141">
        <f>(Table24232567891011121314151620[[#This Row],[STOK]]-Table24232567891011121314151620[[#This Row],[TERJUAL]])</f>
        <v>0</v>
      </c>
      <c r="I46" s="143">
        <f>(Table24232567891011121314151620[HARGA JUAL]*Table24232567891011121314151620[TERJUAL])-(Table24232567891011121314151620[HARGA POKOK]*Table24232567891011121314151620[TERJUAL])</f>
        <v>0</v>
      </c>
      <c r="J46" s="143">
        <f>(Table24232567891011121314151620[HARGA JUAL]*Table24232567891011121314151620[TERJUAL])</f>
        <v>0</v>
      </c>
      <c r="K46" s="143">
        <f>Table24232567891011121314151620[HARGA JUAL]*Table24232567891011121314151620[SISA]</f>
        <v>0</v>
      </c>
      <c r="L46" s="144">
        <f>Table24232567891011121314151620[HARGA POKOK]*Table24232567891011121314151620[STOK]</f>
        <v>0</v>
      </c>
      <c r="M46" s="144">
        <f>Table24232567891011121314151620[HARGA JUAL]*Table24232567891011121314151620[STOK]</f>
        <v>0</v>
      </c>
      <c r="N46" s="145"/>
    </row>
    <row r="47" spans="1:14" x14ac:dyDescent="0.25">
      <c r="A47" s="137">
        <v>40</v>
      </c>
      <c r="B47" s="138" t="s">
        <v>31</v>
      </c>
      <c r="C47" s="138" t="s">
        <v>261</v>
      </c>
      <c r="D47" s="140">
        <v>30000</v>
      </c>
      <c r="E47" s="140">
        <v>35000</v>
      </c>
      <c r="F47" s="141">
        <v>2</v>
      </c>
      <c r="G47" s="142">
        <v>2</v>
      </c>
      <c r="H47" s="141">
        <f>(Table24232567891011121314151620[[#This Row],[STOK]]-Table24232567891011121314151620[[#This Row],[TERJUAL]])</f>
        <v>0</v>
      </c>
      <c r="I47" s="143">
        <f>(Table24232567891011121314151620[HARGA JUAL]*Table24232567891011121314151620[TERJUAL])-(Table24232567891011121314151620[HARGA POKOK]*Table24232567891011121314151620[TERJUAL])</f>
        <v>10000</v>
      </c>
      <c r="J47" s="143">
        <f>(Table24232567891011121314151620[HARGA JUAL]*Table24232567891011121314151620[TERJUAL])</f>
        <v>70000</v>
      </c>
      <c r="K47" s="143">
        <f>Table24232567891011121314151620[HARGA JUAL]*Table24232567891011121314151620[SISA]</f>
        <v>0</v>
      </c>
      <c r="L47" s="144">
        <f>Table24232567891011121314151620[HARGA POKOK]*Table24232567891011121314151620[STOK]</f>
        <v>60000</v>
      </c>
      <c r="M47" s="144">
        <f>Table24232567891011121314151620[HARGA JUAL]*Table24232567891011121314151620[STOK]</f>
        <v>70000</v>
      </c>
      <c r="N47" s="145"/>
    </row>
    <row r="48" spans="1:14" x14ac:dyDescent="0.25">
      <c r="A48" s="137">
        <v>41</v>
      </c>
      <c r="B48" s="138" t="s">
        <v>31</v>
      </c>
      <c r="C48" s="138" t="s">
        <v>67</v>
      </c>
      <c r="D48" s="140">
        <v>27500</v>
      </c>
      <c r="E48" s="140">
        <v>40000</v>
      </c>
      <c r="F48" s="141">
        <v>0</v>
      </c>
      <c r="G48" s="142">
        <v>2</v>
      </c>
      <c r="H48" s="141">
        <f>(Table24232567891011121314151620[[#This Row],[STOK]]-Table24232567891011121314151620[[#This Row],[TERJUAL]])</f>
        <v>-2</v>
      </c>
      <c r="I48" s="143">
        <f>(Table24232567891011121314151620[HARGA JUAL]*Table24232567891011121314151620[TERJUAL])-(Table24232567891011121314151620[HARGA POKOK]*Table24232567891011121314151620[TERJUAL])</f>
        <v>25000</v>
      </c>
      <c r="J48" s="143">
        <f>(Table24232567891011121314151620[HARGA JUAL]*Table24232567891011121314151620[TERJUAL])</f>
        <v>80000</v>
      </c>
      <c r="K48" s="143">
        <f>Table24232567891011121314151620[HARGA JUAL]*Table24232567891011121314151620[SISA]</f>
        <v>-80000</v>
      </c>
      <c r="L48" s="144">
        <f>Table24232567891011121314151620[HARGA POKOK]*Table24232567891011121314151620[STOK]</f>
        <v>0</v>
      </c>
      <c r="M48" s="144">
        <f>Table24232567891011121314151620[HARGA JUAL]*Table24232567891011121314151620[STOK]</f>
        <v>0</v>
      </c>
      <c r="N48" s="145"/>
    </row>
    <row r="49" spans="1:14" x14ac:dyDescent="0.25">
      <c r="A49" s="137">
        <v>42</v>
      </c>
      <c r="B49" s="138" t="s">
        <v>31</v>
      </c>
      <c r="C49" s="138" t="s">
        <v>309</v>
      </c>
      <c r="D49" s="140">
        <v>30000</v>
      </c>
      <c r="E49" s="140">
        <v>40000</v>
      </c>
      <c r="F49" s="141">
        <v>14</v>
      </c>
      <c r="G49" s="142">
        <v>4</v>
      </c>
      <c r="H49" s="141">
        <f>(Table24232567891011121314151620[[#This Row],[STOK]]-Table24232567891011121314151620[[#This Row],[TERJUAL]])</f>
        <v>10</v>
      </c>
      <c r="I49" s="143">
        <f>(Table24232567891011121314151620[HARGA JUAL]*Table24232567891011121314151620[TERJUAL])-(Table24232567891011121314151620[HARGA POKOK]*Table24232567891011121314151620[TERJUAL])</f>
        <v>40000</v>
      </c>
      <c r="J49" s="143">
        <f>(Table24232567891011121314151620[HARGA JUAL]*Table24232567891011121314151620[TERJUAL])</f>
        <v>160000</v>
      </c>
      <c r="K49" s="143">
        <f>Table24232567891011121314151620[HARGA JUAL]*Table24232567891011121314151620[SISA]</f>
        <v>400000</v>
      </c>
      <c r="L49" s="144">
        <f>Table24232567891011121314151620[HARGA POKOK]*Table24232567891011121314151620[STOK]</f>
        <v>420000</v>
      </c>
      <c r="M49" s="144">
        <f>Table24232567891011121314151620[HARGA JUAL]*Table24232567891011121314151620[STOK]</f>
        <v>560000</v>
      </c>
      <c r="N49" s="145"/>
    </row>
    <row r="50" spans="1:14" x14ac:dyDescent="0.25">
      <c r="A50" s="137">
        <v>43</v>
      </c>
      <c r="B50" s="138" t="s">
        <v>31</v>
      </c>
      <c r="C50" s="138" t="s">
        <v>324</v>
      </c>
      <c r="D50" s="140">
        <v>190000</v>
      </c>
      <c r="E50" s="140">
        <v>200000</v>
      </c>
      <c r="F50" s="141">
        <v>5</v>
      </c>
      <c r="G50" s="142">
        <v>1</v>
      </c>
      <c r="H50" s="141">
        <f>(Table24232567891011121314151620[[#This Row],[STOK]]-Table24232567891011121314151620[[#This Row],[TERJUAL]])</f>
        <v>4</v>
      </c>
      <c r="I50" s="143">
        <f>(Table24232567891011121314151620[HARGA JUAL]*Table24232567891011121314151620[TERJUAL])-(Table24232567891011121314151620[HARGA POKOK]*Table24232567891011121314151620[TERJUAL])</f>
        <v>10000</v>
      </c>
      <c r="J50" s="143">
        <f>(Table24232567891011121314151620[HARGA JUAL]*Table24232567891011121314151620[TERJUAL])</f>
        <v>200000</v>
      </c>
      <c r="K50" s="143">
        <f>Table24232567891011121314151620[HARGA JUAL]*Table24232567891011121314151620[SISA]</f>
        <v>800000</v>
      </c>
      <c r="L50" s="144">
        <f>Table24232567891011121314151620[HARGA POKOK]*Table24232567891011121314151620[STOK]</f>
        <v>950000</v>
      </c>
      <c r="M50" s="144">
        <f>Table24232567891011121314151620[HARGA JUAL]*Table24232567891011121314151620[STOK]</f>
        <v>1000000</v>
      </c>
      <c r="N50" s="145"/>
    </row>
    <row r="51" spans="1:14" x14ac:dyDescent="0.25">
      <c r="A51" s="137">
        <v>44</v>
      </c>
      <c r="B51" s="138" t="s">
        <v>31</v>
      </c>
      <c r="C51" s="138" t="s">
        <v>139</v>
      </c>
      <c r="D51" s="140">
        <v>16000</v>
      </c>
      <c r="E51" s="140">
        <v>25000</v>
      </c>
      <c r="F51" s="141">
        <v>2</v>
      </c>
      <c r="G51" s="142">
        <v>1</v>
      </c>
      <c r="H51" s="141">
        <f>(Table24232567891011121314151620[[#This Row],[STOK]]-Table24232567891011121314151620[[#This Row],[TERJUAL]])</f>
        <v>1</v>
      </c>
      <c r="I51" s="143">
        <f>(Table24232567891011121314151620[HARGA JUAL]*Table24232567891011121314151620[TERJUAL])-(Table24232567891011121314151620[HARGA POKOK]*Table24232567891011121314151620[TERJUAL])</f>
        <v>9000</v>
      </c>
      <c r="J51" s="143">
        <f>(Table24232567891011121314151620[HARGA JUAL]*Table24232567891011121314151620[TERJUAL])</f>
        <v>25000</v>
      </c>
      <c r="K51" s="143">
        <f>Table24232567891011121314151620[HARGA JUAL]*Table24232567891011121314151620[SISA]</f>
        <v>25000</v>
      </c>
      <c r="L51" s="144">
        <f>Table24232567891011121314151620[HARGA POKOK]*Table24232567891011121314151620[STOK]</f>
        <v>32000</v>
      </c>
      <c r="M51" s="144">
        <f>Table24232567891011121314151620[HARGA JUAL]*Table24232567891011121314151620[STOK]</f>
        <v>50000</v>
      </c>
      <c r="N51" s="145"/>
    </row>
    <row r="52" spans="1:14" x14ac:dyDescent="0.25">
      <c r="A52" s="137">
        <v>45</v>
      </c>
      <c r="B52" s="138" t="s">
        <v>31</v>
      </c>
      <c r="C52" s="138" t="s">
        <v>320</v>
      </c>
      <c r="D52" s="140">
        <v>34000</v>
      </c>
      <c r="E52" s="140">
        <v>40000</v>
      </c>
      <c r="F52" s="141">
        <v>10</v>
      </c>
      <c r="G52" s="142">
        <v>1</v>
      </c>
      <c r="H52" s="141">
        <f>(Table24232567891011121314151620[[#This Row],[STOK]]-Table24232567891011121314151620[[#This Row],[TERJUAL]])</f>
        <v>9</v>
      </c>
      <c r="I52" s="143">
        <f>(Table24232567891011121314151620[HARGA JUAL]*Table24232567891011121314151620[TERJUAL])-(Table24232567891011121314151620[HARGA POKOK]*Table24232567891011121314151620[TERJUAL])</f>
        <v>6000</v>
      </c>
      <c r="J52" s="143">
        <f>(Table24232567891011121314151620[HARGA JUAL]*Table24232567891011121314151620[TERJUAL])</f>
        <v>40000</v>
      </c>
      <c r="K52" s="143">
        <f>Table24232567891011121314151620[HARGA JUAL]*Table24232567891011121314151620[SISA]</f>
        <v>360000</v>
      </c>
      <c r="L52" s="144">
        <f>Table24232567891011121314151620[HARGA POKOK]*Table24232567891011121314151620[STOK]</f>
        <v>340000</v>
      </c>
      <c r="M52" s="144">
        <f>Table24232567891011121314151620[HARGA JUAL]*Table24232567891011121314151620[STOK]</f>
        <v>400000</v>
      </c>
      <c r="N52" s="145"/>
    </row>
    <row r="53" spans="1:14" x14ac:dyDescent="0.25">
      <c r="A53" s="137">
        <v>46</v>
      </c>
      <c r="B53" s="138" t="s">
        <v>31</v>
      </c>
      <c r="C53" s="138" t="s">
        <v>318</v>
      </c>
      <c r="D53" s="140">
        <v>18000</v>
      </c>
      <c r="E53" s="140">
        <v>30000</v>
      </c>
      <c r="F53" s="141">
        <v>10</v>
      </c>
      <c r="G53" s="142">
        <v>10</v>
      </c>
      <c r="H53" s="141">
        <f>(Table24232567891011121314151620[[#This Row],[STOK]]-Table24232567891011121314151620[[#This Row],[TERJUAL]])</f>
        <v>0</v>
      </c>
      <c r="I53" s="143">
        <f>(Table24232567891011121314151620[HARGA JUAL]*Table24232567891011121314151620[TERJUAL])-(Table24232567891011121314151620[HARGA POKOK]*Table24232567891011121314151620[TERJUAL])</f>
        <v>120000</v>
      </c>
      <c r="J53" s="143">
        <f>(Table24232567891011121314151620[HARGA JUAL]*Table24232567891011121314151620[TERJUAL])</f>
        <v>300000</v>
      </c>
      <c r="K53" s="143">
        <f>Table24232567891011121314151620[HARGA JUAL]*Table24232567891011121314151620[SISA]</f>
        <v>0</v>
      </c>
      <c r="L53" s="144">
        <f>Table24232567891011121314151620[HARGA POKOK]*Table24232567891011121314151620[STOK]</f>
        <v>180000</v>
      </c>
      <c r="M53" s="144">
        <f>Table24232567891011121314151620[HARGA JUAL]*Table24232567891011121314151620[STOK]</f>
        <v>300000</v>
      </c>
      <c r="N53" s="145"/>
    </row>
    <row r="54" spans="1:14" x14ac:dyDescent="0.25">
      <c r="A54" s="137">
        <v>47</v>
      </c>
      <c r="B54" s="138" t="s">
        <v>31</v>
      </c>
      <c r="C54" s="193" t="s">
        <v>184</v>
      </c>
      <c r="D54" s="140">
        <v>12500</v>
      </c>
      <c r="E54" s="140">
        <v>30000</v>
      </c>
      <c r="F54" s="141">
        <v>88</v>
      </c>
      <c r="G54" s="142">
        <v>2</v>
      </c>
      <c r="H54" s="141">
        <f>(Table24232567891011121314151620[[#This Row],[STOK]]-Table24232567891011121314151620[[#This Row],[TERJUAL]])</f>
        <v>86</v>
      </c>
      <c r="I54" s="143">
        <f>(Table24232567891011121314151620[HARGA JUAL]*Table24232567891011121314151620[TERJUAL])-(Table24232567891011121314151620[HARGA POKOK]*Table24232567891011121314151620[TERJUAL])</f>
        <v>35000</v>
      </c>
      <c r="J54" s="143">
        <f>(Table24232567891011121314151620[HARGA JUAL]*Table24232567891011121314151620[TERJUAL])</f>
        <v>60000</v>
      </c>
      <c r="K54" s="143">
        <f>Table24232567891011121314151620[HARGA JUAL]*Table24232567891011121314151620[SISA]</f>
        <v>2580000</v>
      </c>
      <c r="L54" s="144">
        <f>Table24232567891011121314151620[HARGA POKOK]*Table24232567891011121314151620[STOK]</f>
        <v>1100000</v>
      </c>
      <c r="M54" s="144">
        <f>Table24232567891011121314151620[HARGA JUAL]*Table24232567891011121314151620[STOK]</f>
        <v>2640000</v>
      </c>
      <c r="N54" s="145"/>
    </row>
    <row r="55" spans="1:14" x14ac:dyDescent="0.25">
      <c r="A55" s="283">
        <v>48</v>
      </c>
      <c r="B55" s="284" t="s">
        <v>31</v>
      </c>
      <c r="C55" s="284" t="s">
        <v>185</v>
      </c>
      <c r="D55" s="285">
        <v>28500</v>
      </c>
      <c r="E55" s="285">
        <v>10000</v>
      </c>
      <c r="F55" s="286">
        <v>18</v>
      </c>
      <c r="G55" s="287">
        <v>8</v>
      </c>
      <c r="H55" s="286">
        <f>(Table24232567891011121314151620[[#This Row],[STOK]]-Table24232567891011121314151620[[#This Row],[TERJUAL]])</f>
        <v>10</v>
      </c>
      <c r="I55" s="288">
        <f>(Table24232567891011121314151620[HARGA JUAL]*Table24232567891011121314151620[TERJUAL])-(Table24232567891011121314151620[HARGA POKOK]*Table24232567891011121314151620[TERJUAL])</f>
        <v>-148000</v>
      </c>
      <c r="J55" s="288">
        <f>(Table24232567891011121314151620[HARGA JUAL]*Table24232567891011121314151620[TERJUAL])</f>
        <v>80000</v>
      </c>
      <c r="K55" s="288">
        <f>Table24232567891011121314151620[HARGA JUAL]*Table24232567891011121314151620[SISA]</f>
        <v>100000</v>
      </c>
      <c r="L55" s="289">
        <f>Table24232567891011121314151620[HARGA POKOK]*Table24232567891011121314151620[STOK]</f>
        <v>513000</v>
      </c>
      <c r="M55" s="289">
        <f>Table24232567891011121314151620[HARGA JUAL]*Table24232567891011121314151620[STOK]</f>
        <v>180000</v>
      </c>
      <c r="N55" s="290" t="s">
        <v>179</v>
      </c>
    </row>
    <row r="56" spans="1:14" x14ac:dyDescent="0.25">
      <c r="A56" s="137">
        <v>49</v>
      </c>
      <c r="B56" s="138" t="s">
        <v>31</v>
      </c>
      <c r="C56" s="138" t="s">
        <v>186</v>
      </c>
      <c r="D56" s="140">
        <v>48500</v>
      </c>
      <c r="E56" s="140">
        <v>65000</v>
      </c>
      <c r="F56" s="141">
        <v>9</v>
      </c>
      <c r="G56" s="142"/>
      <c r="H56" s="141">
        <f>(Table24232567891011121314151620[[#This Row],[STOK]]-Table24232567891011121314151620[[#This Row],[TERJUAL]])</f>
        <v>9</v>
      </c>
      <c r="I56" s="143">
        <f>(Table24232567891011121314151620[HARGA JUAL]*Table24232567891011121314151620[TERJUAL])-(Table24232567891011121314151620[HARGA POKOK]*Table24232567891011121314151620[TERJUAL])</f>
        <v>0</v>
      </c>
      <c r="J56" s="143">
        <f>(Table24232567891011121314151620[HARGA JUAL]*Table24232567891011121314151620[TERJUAL])</f>
        <v>0</v>
      </c>
      <c r="K56" s="143">
        <f>Table24232567891011121314151620[HARGA JUAL]*Table24232567891011121314151620[SISA]</f>
        <v>585000</v>
      </c>
      <c r="L56" s="144">
        <f>Table24232567891011121314151620[HARGA POKOK]*Table24232567891011121314151620[STOK]</f>
        <v>436500</v>
      </c>
      <c r="M56" s="144">
        <f>Table24232567891011121314151620[HARGA JUAL]*Table24232567891011121314151620[STOK]</f>
        <v>585000</v>
      </c>
      <c r="N56" s="145"/>
    </row>
    <row r="57" spans="1:14" x14ac:dyDescent="0.25">
      <c r="A57" s="137">
        <v>50</v>
      </c>
      <c r="B57" s="138" t="s">
        <v>31</v>
      </c>
      <c r="C57" s="138" t="s">
        <v>187</v>
      </c>
      <c r="D57" s="140">
        <v>47500</v>
      </c>
      <c r="E57" s="140">
        <v>65000</v>
      </c>
      <c r="F57" s="141">
        <v>37</v>
      </c>
      <c r="G57" s="142">
        <v>11</v>
      </c>
      <c r="H57" s="141">
        <f>(Table24232567891011121314151620[[#This Row],[STOK]]-Table24232567891011121314151620[[#This Row],[TERJUAL]])</f>
        <v>26</v>
      </c>
      <c r="I57" s="143">
        <f>(Table24232567891011121314151620[HARGA JUAL]*Table24232567891011121314151620[TERJUAL])-(Table24232567891011121314151620[HARGA POKOK]*Table24232567891011121314151620[TERJUAL])</f>
        <v>192500</v>
      </c>
      <c r="J57" s="143">
        <f>(Table24232567891011121314151620[HARGA JUAL]*Table24232567891011121314151620[TERJUAL])</f>
        <v>715000</v>
      </c>
      <c r="K57" s="143">
        <f>Table24232567891011121314151620[HARGA JUAL]*Table24232567891011121314151620[SISA]</f>
        <v>1690000</v>
      </c>
      <c r="L57" s="144">
        <f>Table24232567891011121314151620[HARGA POKOK]*Table24232567891011121314151620[STOK]</f>
        <v>1757500</v>
      </c>
      <c r="M57" s="144">
        <f>Table24232567891011121314151620[HARGA JUAL]*Table24232567891011121314151620[STOK]</f>
        <v>2405000</v>
      </c>
      <c r="N57" s="145"/>
    </row>
    <row r="58" spans="1:14" x14ac:dyDescent="0.25">
      <c r="A58" s="137">
        <v>51</v>
      </c>
      <c r="B58" s="138" t="s">
        <v>32</v>
      </c>
      <c r="C58" s="193" t="s">
        <v>18</v>
      </c>
      <c r="D58" s="140">
        <v>1700</v>
      </c>
      <c r="E58" s="140">
        <v>5000</v>
      </c>
      <c r="F58" s="141">
        <v>96</v>
      </c>
      <c r="G58" s="142">
        <v>77</v>
      </c>
      <c r="H58" s="141">
        <f>(Table24232567891011121314151620[[#This Row],[STOK]]-Table24232567891011121314151620[[#This Row],[TERJUAL]])</f>
        <v>19</v>
      </c>
      <c r="I58" s="143">
        <f>(Table24232567891011121314151620[HARGA JUAL]*Table24232567891011121314151620[TERJUAL])-(Table24232567891011121314151620[HARGA POKOK]*Table24232567891011121314151620[TERJUAL])</f>
        <v>254100</v>
      </c>
      <c r="J58" s="143">
        <f>(Table24232567891011121314151620[HARGA JUAL]*Table24232567891011121314151620[TERJUAL])</f>
        <v>385000</v>
      </c>
      <c r="K58" s="143">
        <f>Table24232567891011121314151620[HARGA JUAL]*Table24232567891011121314151620[SISA]</f>
        <v>95000</v>
      </c>
      <c r="L58" s="144">
        <f>Table24232567891011121314151620[HARGA POKOK]*Table24232567891011121314151620[STOK]</f>
        <v>163200</v>
      </c>
      <c r="M58" s="144">
        <f>Table24232567891011121314151620[HARGA JUAL]*Table24232567891011121314151620[STOK]</f>
        <v>480000</v>
      </c>
      <c r="N58" s="145"/>
    </row>
    <row r="59" spans="1:14" x14ac:dyDescent="0.25">
      <c r="A59" s="137">
        <v>52</v>
      </c>
      <c r="B59" s="138" t="s">
        <v>32</v>
      </c>
      <c r="C59" s="138" t="s">
        <v>21</v>
      </c>
      <c r="D59" s="140">
        <v>30000</v>
      </c>
      <c r="E59" s="140">
        <v>45000</v>
      </c>
      <c r="F59" s="141">
        <v>2</v>
      </c>
      <c r="G59" s="142">
        <v>1</v>
      </c>
      <c r="H59" s="141">
        <f>(Table24232567891011121314151620[[#This Row],[STOK]]-Table24232567891011121314151620[[#This Row],[TERJUAL]])</f>
        <v>1</v>
      </c>
      <c r="I59" s="143">
        <f>(Table24232567891011121314151620[HARGA JUAL]*Table24232567891011121314151620[TERJUAL])-(Table24232567891011121314151620[HARGA POKOK]*Table24232567891011121314151620[TERJUAL])</f>
        <v>15000</v>
      </c>
      <c r="J59" s="143">
        <f>(Table24232567891011121314151620[HARGA JUAL]*Table24232567891011121314151620[TERJUAL])</f>
        <v>45000</v>
      </c>
      <c r="K59" s="143">
        <f>Table24232567891011121314151620[HARGA JUAL]*Table24232567891011121314151620[SISA]</f>
        <v>45000</v>
      </c>
      <c r="L59" s="144">
        <f>Table24232567891011121314151620[HARGA POKOK]*Table24232567891011121314151620[STOK]</f>
        <v>60000</v>
      </c>
      <c r="M59" s="144">
        <f>Table24232567891011121314151620[HARGA JUAL]*Table24232567891011121314151620[STOK]</f>
        <v>90000</v>
      </c>
      <c r="N59" s="145"/>
    </row>
    <row r="60" spans="1:14" x14ac:dyDescent="0.25">
      <c r="A60" s="137">
        <v>53</v>
      </c>
      <c r="B60" s="138" t="s">
        <v>32</v>
      </c>
      <c r="C60" s="138" t="s">
        <v>20</v>
      </c>
      <c r="D60" s="140">
        <v>1500</v>
      </c>
      <c r="E60" s="140">
        <v>5000</v>
      </c>
      <c r="F60" s="141">
        <v>63</v>
      </c>
      <c r="G60" s="142">
        <v>3</v>
      </c>
      <c r="H60" s="141">
        <f>(Table24232567891011121314151620[[#This Row],[STOK]]-Table24232567891011121314151620[[#This Row],[TERJUAL]])</f>
        <v>60</v>
      </c>
      <c r="I60" s="143">
        <f>(Table24232567891011121314151620[HARGA JUAL]*Table24232567891011121314151620[TERJUAL])-(Table24232567891011121314151620[HARGA POKOK]*Table24232567891011121314151620[TERJUAL])</f>
        <v>10500</v>
      </c>
      <c r="J60" s="143">
        <f>(Table24232567891011121314151620[HARGA JUAL]*Table24232567891011121314151620[TERJUAL])</f>
        <v>15000</v>
      </c>
      <c r="K60" s="143">
        <f>Table24232567891011121314151620[HARGA JUAL]*Table24232567891011121314151620[SISA]</f>
        <v>300000</v>
      </c>
      <c r="L60" s="144">
        <f>Table24232567891011121314151620[HARGA POKOK]*Table24232567891011121314151620[STOK]</f>
        <v>94500</v>
      </c>
      <c r="M60" s="144">
        <f>Table24232567891011121314151620[HARGA JUAL]*Table24232567891011121314151620[STOK]</f>
        <v>315000</v>
      </c>
      <c r="N60" s="145"/>
    </row>
    <row r="61" spans="1:14" x14ac:dyDescent="0.25">
      <c r="A61" s="137">
        <v>54</v>
      </c>
      <c r="B61" s="138" t="s">
        <v>32</v>
      </c>
      <c r="C61" s="138" t="s">
        <v>23</v>
      </c>
      <c r="D61" s="140">
        <v>30000</v>
      </c>
      <c r="E61" s="140">
        <v>40000</v>
      </c>
      <c r="F61" s="141">
        <v>8</v>
      </c>
      <c r="G61" s="142"/>
      <c r="H61" s="141">
        <f>(Table24232567891011121314151620[[#This Row],[STOK]]-Table24232567891011121314151620[[#This Row],[TERJUAL]])</f>
        <v>8</v>
      </c>
      <c r="I61" s="143">
        <f>(Table24232567891011121314151620[HARGA JUAL]*Table24232567891011121314151620[TERJUAL])-(Table24232567891011121314151620[HARGA POKOK]*Table24232567891011121314151620[TERJUAL])</f>
        <v>0</v>
      </c>
      <c r="J61" s="143">
        <f>(Table24232567891011121314151620[HARGA JUAL]*Table24232567891011121314151620[TERJUAL])</f>
        <v>0</v>
      </c>
      <c r="K61" s="143">
        <f>Table24232567891011121314151620[HARGA JUAL]*Table24232567891011121314151620[SISA]</f>
        <v>320000</v>
      </c>
      <c r="L61" s="144">
        <f>Table24232567891011121314151620[HARGA POKOK]*Table24232567891011121314151620[STOK]</f>
        <v>240000</v>
      </c>
      <c r="M61" s="144">
        <f>Table24232567891011121314151620[HARGA JUAL]*Table24232567891011121314151620[STOK]</f>
        <v>320000</v>
      </c>
      <c r="N61" s="145"/>
    </row>
    <row r="62" spans="1:14" x14ac:dyDescent="0.25">
      <c r="A62" s="137">
        <v>55</v>
      </c>
      <c r="B62" s="138" t="s">
        <v>32</v>
      </c>
      <c r="C62" s="138" t="s">
        <v>19</v>
      </c>
      <c r="D62" s="140">
        <v>1600</v>
      </c>
      <c r="E62" s="140">
        <v>5000</v>
      </c>
      <c r="F62" s="141">
        <v>212</v>
      </c>
      <c r="G62" s="142">
        <v>24</v>
      </c>
      <c r="H62" s="141">
        <f>(Table24232567891011121314151620[[#This Row],[STOK]]-Table24232567891011121314151620[[#This Row],[TERJUAL]])</f>
        <v>188</v>
      </c>
      <c r="I62" s="143">
        <f>(Table24232567891011121314151620[HARGA JUAL]*Table24232567891011121314151620[TERJUAL])-(Table24232567891011121314151620[HARGA POKOK]*Table24232567891011121314151620[TERJUAL])</f>
        <v>81600</v>
      </c>
      <c r="J62" s="143">
        <f>(Table24232567891011121314151620[HARGA JUAL]*Table24232567891011121314151620[TERJUAL])</f>
        <v>120000</v>
      </c>
      <c r="K62" s="143">
        <f>Table24232567891011121314151620[HARGA JUAL]*Table24232567891011121314151620[SISA]</f>
        <v>940000</v>
      </c>
      <c r="L62" s="144">
        <f>Table24232567891011121314151620[HARGA POKOK]*Table24232567891011121314151620[STOK]</f>
        <v>339200</v>
      </c>
      <c r="M62" s="144">
        <f>Table24232567891011121314151620[HARGA JUAL]*Table24232567891011121314151620[STOK]</f>
        <v>1060000</v>
      </c>
      <c r="N62" s="145"/>
    </row>
    <row r="63" spans="1:14" x14ac:dyDescent="0.25">
      <c r="A63" s="137">
        <v>56</v>
      </c>
      <c r="B63" s="138" t="s">
        <v>32</v>
      </c>
      <c r="C63" s="138" t="s">
        <v>22</v>
      </c>
      <c r="D63" s="140">
        <v>30000</v>
      </c>
      <c r="E63" s="140">
        <v>40000</v>
      </c>
      <c r="F63" s="141">
        <v>1</v>
      </c>
      <c r="G63" s="142"/>
      <c r="H63" s="141">
        <f>(Table24232567891011121314151620[[#This Row],[STOK]]-Table24232567891011121314151620[[#This Row],[TERJUAL]])</f>
        <v>1</v>
      </c>
      <c r="I63" s="143">
        <f>(Table24232567891011121314151620[HARGA JUAL]*Table24232567891011121314151620[TERJUAL])-(Table24232567891011121314151620[HARGA POKOK]*Table24232567891011121314151620[TERJUAL])</f>
        <v>0</v>
      </c>
      <c r="J63" s="143">
        <f>(Table24232567891011121314151620[HARGA JUAL]*Table24232567891011121314151620[TERJUAL])</f>
        <v>0</v>
      </c>
      <c r="K63" s="143">
        <f>Table24232567891011121314151620[HARGA JUAL]*Table24232567891011121314151620[SISA]</f>
        <v>40000</v>
      </c>
      <c r="L63" s="144">
        <f>Table24232567891011121314151620[HARGA POKOK]*Table24232567891011121314151620[STOK]</f>
        <v>30000</v>
      </c>
      <c r="M63" s="144">
        <f>Table24232567891011121314151620[HARGA JUAL]*Table24232567891011121314151620[STOK]</f>
        <v>40000</v>
      </c>
      <c r="N63" s="145"/>
    </row>
    <row r="64" spans="1:14" x14ac:dyDescent="0.25">
      <c r="A64" s="137">
        <v>57</v>
      </c>
      <c r="B64" s="138" t="s">
        <v>32</v>
      </c>
      <c r="C64" s="138" t="s">
        <v>24</v>
      </c>
      <c r="D64" s="140">
        <v>17500</v>
      </c>
      <c r="E64" s="140">
        <v>40000</v>
      </c>
      <c r="F64" s="141">
        <v>0</v>
      </c>
      <c r="G64" s="142"/>
      <c r="H64" s="141">
        <f>(Table24232567891011121314151620[[#This Row],[STOK]]-Table24232567891011121314151620[[#This Row],[TERJUAL]])</f>
        <v>0</v>
      </c>
      <c r="I64" s="143">
        <f>(Table24232567891011121314151620[HARGA JUAL]*Table24232567891011121314151620[TERJUAL])-(Table24232567891011121314151620[HARGA POKOK]*Table24232567891011121314151620[TERJUAL])</f>
        <v>0</v>
      </c>
      <c r="J64" s="143">
        <f>(Table24232567891011121314151620[HARGA JUAL]*Table24232567891011121314151620[TERJUAL])</f>
        <v>0</v>
      </c>
      <c r="K64" s="143">
        <f>Table24232567891011121314151620[HARGA JUAL]*Table24232567891011121314151620[SISA]</f>
        <v>0</v>
      </c>
      <c r="L64" s="144">
        <f>Table24232567891011121314151620[HARGA POKOK]*Table24232567891011121314151620[STOK]</f>
        <v>0</v>
      </c>
      <c r="M64" s="144">
        <f>Table24232567891011121314151620[HARGA JUAL]*Table24232567891011121314151620[STOK]</f>
        <v>0</v>
      </c>
      <c r="N64" s="145"/>
    </row>
    <row r="65" spans="1:15" x14ac:dyDescent="0.25">
      <c r="A65" s="137">
        <v>58</v>
      </c>
      <c r="B65" s="138" t="s">
        <v>144</v>
      </c>
      <c r="C65" s="138" t="s">
        <v>145</v>
      </c>
      <c r="D65" s="140">
        <v>3000</v>
      </c>
      <c r="E65" s="140">
        <v>6000</v>
      </c>
      <c r="F65" s="141">
        <v>82</v>
      </c>
      <c r="G65" s="142">
        <v>16</v>
      </c>
      <c r="H65" s="141">
        <f>(Table24232567891011121314151620[[#This Row],[STOK]]-Table24232567891011121314151620[[#This Row],[TERJUAL]])</f>
        <v>66</v>
      </c>
      <c r="I65" s="143">
        <f>(Table24232567891011121314151620[HARGA JUAL]*Table24232567891011121314151620[TERJUAL])-(Table24232567891011121314151620[HARGA POKOK]*Table24232567891011121314151620[TERJUAL])</f>
        <v>48000</v>
      </c>
      <c r="J65" s="143">
        <f>(Table24232567891011121314151620[HARGA JUAL]*Table24232567891011121314151620[TERJUAL])</f>
        <v>96000</v>
      </c>
      <c r="K65" s="143">
        <f>Table24232567891011121314151620[HARGA JUAL]*Table24232567891011121314151620[SISA]</f>
        <v>396000</v>
      </c>
      <c r="L65" s="144">
        <f>Table24232567891011121314151620[HARGA POKOK]*Table24232567891011121314151620[STOK]</f>
        <v>246000</v>
      </c>
      <c r="M65" s="144">
        <f>Table24232567891011121314151620[HARGA JUAL]*Table24232567891011121314151620[STOK]</f>
        <v>492000</v>
      </c>
      <c r="N65" s="145"/>
    </row>
    <row r="66" spans="1:15" x14ac:dyDescent="0.25">
      <c r="A66" s="291">
        <v>59</v>
      </c>
      <c r="B66" s="292" t="s">
        <v>290</v>
      </c>
      <c r="C66" s="292" t="s">
        <v>188</v>
      </c>
      <c r="D66" s="293">
        <v>400000</v>
      </c>
      <c r="E66" s="293">
        <v>485000</v>
      </c>
      <c r="F66" s="294">
        <v>262</v>
      </c>
      <c r="G66" s="295">
        <v>149</v>
      </c>
      <c r="H66" s="294">
        <f>(Table24232567891011121314151620[[#This Row],[STOK]]-Table24232567891011121314151620[[#This Row],[TERJUAL]])</f>
        <v>113</v>
      </c>
      <c r="I66" s="296">
        <f>(Table24232567891011121314151620[HARGA JUAL]*Table24232567891011121314151620[TERJUAL])-(Table24232567891011121314151620[HARGA POKOK]*Table24232567891011121314151620[TERJUAL])</f>
        <v>12665000</v>
      </c>
      <c r="J66" s="296">
        <f>(Table24232567891011121314151620[HARGA JUAL]*Table24232567891011121314151620[TERJUAL])</f>
        <v>72265000</v>
      </c>
      <c r="K66" s="296">
        <f>Table24232567891011121314151620[HARGA JUAL]*Table24232567891011121314151620[SISA]</f>
        <v>54805000</v>
      </c>
      <c r="L66" s="297">
        <f>Table24232567891011121314151620[HARGA POKOK]*Table24232567891011121314151620[STOK]</f>
        <v>104800000</v>
      </c>
      <c r="M66" s="297">
        <f>Table24232567891011121314151620[HARGA JUAL]*Table24232567891011121314151620[STOK]</f>
        <v>127070000</v>
      </c>
      <c r="N66" s="298"/>
    </row>
    <row r="67" spans="1:15" x14ac:dyDescent="0.25">
      <c r="A67" s="137">
        <v>60</v>
      </c>
      <c r="B67" s="138" t="s">
        <v>33</v>
      </c>
      <c r="C67" s="138" t="s">
        <v>189</v>
      </c>
      <c r="D67" s="140">
        <v>452000</v>
      </c>
      <c r="E67" s="140">
        <v>560000</v>
      </c>
      <c r="F67" s="141">
        <v>0</v>
      </c>
      <c r="G67" s="142"/>
      <c r="H67" s="141">
        <f>(Table24232567891011121314151620[[#This Row],[STOK]]-Table24232567891011121314151620[[#This Row],[TERJUAL]])</f>
        <v>0</v>
      </c>
      <c r="I67" s="143">
        <f>(Table24232567891011121314151620[HARGA JUAL]*Table24232567891011121314151620[TERJUAL])-(Table24232567891011121314151620[HARGA POKOK]*Table24232567891011121314151620[TERJUAL])</f>
        <v>0</v>
      </c>
      <c r="J67" s="143">
        <f>(Table24232567891011121314151620[HARGA JUAL]*Table24232567891011121314151620[TERJUAL])</f>
        <v>0</v>
      </c>
      <c r="K67" s="143">
        <f>Table24232567891011121314151620[HARGA JUAL]*Table24232567891011121314151620[SISA]</f>
        <v>0</v>
      </c>
      <c r="L67" s="144">
        <f>Table24232567891011121314151620[HARGA POKOK]*Table24232567891011121314151620[STOK]</f>
        <v>0</v>
      </c>
      <c r="M67" s="144">
        <f>Table24232567891011121314151620[HARGA JUAL]*Table24232567891011121314151620[STOK]</f>
        <v>0</v>
      </c>
      <c r="N67" s="145"/>
    </row>
    <row r="68" spans="1:15" x14ac:dyDescent="0.25">
      <c r="A68" s="137">
        <v>61</v>
      </c>
      <c r="B68" s="138" t="s">
        <v>192</v>
      </c>
      <c r="C68" s="138" t="s">
        <v>142</v>
      </c>
      <c r="D68" s="140">
        <v>310000</v>
      </c>
      <c r="E68" s="140">
        <v>435000</v>
      </c>
      <c r="F68" s="141">
        <v>0</v>
      </c>
      <c r="G68" s="142"/>
      <c r="H68" s="141">
        <f>(Table24232567891011121314151620[[#This Row],[STOK]]-Table24232567891011121314151620[[#This Row],[TERJUAL]])</f>
        <v>0</v>
      </c>
      <c r="I68" s="143">
        <f>(Table24232567891011121314151620[HARGA JUAL]*Table24232567891011121314151620[TERJUAL])-(Table24232567891011121314151620[HARGA POKOK]*Table24232567891011121314151620[TERJUAL])</f>
        <v>0</v>
      </c>
      <c r="J68" s="143">
        <f>(Table24232567891011121314151620[HARGA JUAL]*Table24232567891011121314151620[TERJUAL])</f>
        <v>0</v>
      </c>
      <c r="K68" s="143">
        <f>Table24232567891011121314151620[HARGA JUAL]*Table24232567891011121314151620[SISA]</f>
        <v>0</v>
      </c>
      <c r="L68" s="144">
        <f>Table24232567891011121314151620[HARGA POKOK]*Table24232567891011121314151620[STOK]</f>
        <v>0</v>
      </c>
      <c r="M68" s="144">
        <f>Table24232567891011121314151620[HARGA JUAL]*Table24232567891011121314151620[STOK]</f>
        <v>0</v>
      </c>
      <c r="N68" s="145"/>
    </row>
    <row r="69" spans="1:15" x14ac:dyDescent="0.25">
      <c r="A69" s="137">
        <v>62</v>
      </c>
      <c r="B69" s="138" t="s">
        <v>192</v>
      </c>
      <c r="C69" s="138" t="s">
        <v>269</v>
      </c>
      <c r="D69" s="140">
        <v>417000</v>
      </c>
      <c r="E69" s="140">
        <v>470000</v>
      </c>
      <c r="F69" s="141">
        <v>1</v>
      </c>
      <c r="G69" s="142">
        <v>1</v>
      </c>
      <c r="H69" s="141">
        <f>(Table24232567891011121314151620[[#This Row],[STOK]]-Table24232567891011121314151620[[#This Row],[TERJUAL]])</f>
        <v>0</v>
      </c>
      <c r="I69" s="143">
        <f>(Table24232567891011121314151620[HARGA JUAL]*Table24232567891011121314151620[TERJUAL])-(Table24232567891011121314151620[HARGA POKOK]*Table24232567891011121314151620[TERJUAL])</f>
        <v>53000</v>
      </c>
      <c r="J69" s="143">
        <f>(Table24232567891011121314151620[HARGA JUAL]*Table24232567891011121314151620[TERJUAL])</f>
        <v>470000</v>
      </c>
      <c r="K69" s="143">
        <f>Table24232567891011121314151620[HARGA JUAL]*Table24232567891011121314151620[SISA]</f>
        <v>0</v>
      </c>
      <c r="L69" s="144">
        <f>Table24232567891011121314151620[HARGA POKOK]*Table24232567891011121314151620[STOK]</f>
        <v>417000</v>
      </c>
      <c r="M69" s="144">
        <f>Table24232567891011121314151620[HARGA JUAL]*Table24232567891011121314151620[STOK]</f>
        <v>470000</v>
      </c>
      <c r="N69" s="145"/>
    </row>
    <row r="70" spans="1:15" x14ac:dyDescent="0.25">
      <c r="A70" s="137">
        <v>63</v>
      </c>
      <c r="B70" s="138" t="s">
        <v>193</v>
      </c>
      <c r="C70" s="138" t="s">
        <v>191</v>
      </c>
      <c r="D70" s="140">
        <v>9000</v>
      </c>
      <c r="E70" s="140">
        <v>15000</v>
      </c>
      <c r="F70" s="141">
        <v>60</v>
      </c>
      <c r="G70" s="142">
        <v>53</v>
      </c>
      <c r="H70" s="141">
        <f>(Table24232567891011121314151620[[#This Row],[STOK]]-Table24232567891011121314151620[[#This Row],[TERJUAL]])</f>
        <v>7</v>
      </c>
      <c r="I70" s="143">
        <f>(Table24232567891011121314151620[HARGA JUAL]*Table24232567891011121314151620[TERJUAL])-(Table24232567891011121314151620[HARGA POKOK]*Table24232567891011121314151620[TERJUAL])</f>
        <v>318000</v>
      </c>
      <c r="J70" s="143">
        <f>(Table24232567891011121314151620[HARGA JUAL]*Table24232567891011121314151620[TERJUAL])</f>
        <v>795000</v>
      </c>
      <c r="K70" s="143">
        <f>Table24232567891011121314151620[HARGA JUAL]*Table24232567891011121314151620[SISA]</f>
        <v>105000</v>
      </c>
      <c r="L70" s="144">
        <f>Table24232567891011121314151620[HARGA POKOK]*Table24232567891011121314151620[STOK]</f>
        <v>540000</v>
      </c>
      <c r="M70" s="144">
        <f>Table24232567891011121314151620[HARGA JUAL]*Table24232567891011121314151620[STOK]</f>
        <v>900000</v>
      </c>
      <c r="N70" s="145" t="s">
        <v>292</v>
      </c>
    </row>
    <row r="71" spans="1:15" x14ac:dyDescent="0.25">
      <c r="A71" s="137">
        <v>64</v>
      </c>
      <c r="B71" s="138" t="s">
        <v>193</v>
      </c>
      <c r="C71" s="138" t="s">
        <v>214</v>
      </c>
      <c r="D71" s="140">
        <v>9000</v>
      </c>
      <c r="E71" s="140">
        <v>15000</v>
      </c>
      <c r="F71" s="141">
        <v>60</v>
      </c>
      <c r="G71" s="142">
        <v>49</v>
      </c>
      <c r="H71" s="141">
        <f>(Table24232567891011121314151620[[#This Row],[STOK]]-Table24232567891011121314151620[[#This Row],[TERJUAL]])</f>
        <v>11</v>
      </c>
      <c r="I71" s="143">
        <f>(Table24232567891011121314151620[HARGA JUAL]*Table24232567891011121314151620[TERJUAL])-(Table24232567891011121314151620[HARGA POKOK]*Table24232567891011121314151620[TERJUAL])</f>
        <v>294000</v>
      </c>
      <c r="J71" s="143">
        <f>(Table24232567891011121314151620[HARGA JUAL]*Table24232567891011121314151620[TERJUAL])</f>
        <v>735000</v>
      </c>
      <c r="K71" s="143">
        <f>Table24232567891011121314151620[HARGA JUAL]*Table24232567891011121314151620[SISA]</f>
        <v>165000</v>
      </c>
      <c r="L71" s="144">
        <f>Table24232567891011121314151620[HARGA POKOK]*Table24232567891011121314151620[STOK]</f>
        <v>540000</v>
      </c>
      <c r="M71" s="144">
        <f>Table24232567891011121314151620[HARGA JUAL]*Table24232567891011121314151620[STOK]</f>
        <v>900000</v>
      </c>
      <c r="N71" s="145"/>
    </row>
    <row r="72" spans="1:15" x14ac:dyDescent="0.25">
      <c r="A72" s="137">
        <v>65</v>
      </c>
      <c r="B72" s="138" t="s">
        <v>206</v>
      </c>
      <c r="C72" s="138" t="s">
        <v>207</v>
      </c>
      <c r="D72" s="140">
        <v>12000</v>
      </c>
      <c r="E72" s="140">
        <v>28000</v>
      </c>
      <c r="F72" s="141">
        <v>10</v>
      </c>
      <c r="G72" s="142">
        <v>2</v>
      </c>
      <c r="H72" s="141">
        <f>(Table24232567891011121314151620[[#This Row],[STOK]]-Table24232567891011121314151620[[#This Row],[TERJUAL]])</f>
        <v>8</v>
      </c>
      <c r="I72" s="143">
        <f>(Table24232567891011121314151620[HARGA JUAL]*Table24232567891011121314151620[TERJUAL])-(Table24232567891011121314151620[HARGA POKOK]*Table24232567891011121314151620[TERJUAL])</f>
        <v>32000</v>
      </c>
      <c r="J72" s="143">
        <f>(Table24232567891011121314151620[HARGA JUAL]*Table24232567891011121314151620[TERJUAL])</f>
        <v>56000</v>
      </c>
      <c r="K72" s="143">
        <f>Table24232567891011121314151620[HARGA JUAL]*Table24232567891011121314151620[SISA]</f>
        <v>224000</v>
      </c>
      <c r="L72" s="144">
        <f>Table24232567891011121314151620[HARGA POKOK]*Table24232567891011121314151620[STOK]</f>
        <v>120000</v>
      </c>
      <c r="M72" s="144">
        <f>Table24232567891011121314151620[HARGA JUAL]*Table24232567891011121314151620[STOK]</f>
        <v>280000</v>
      </c>
      <c r="N72" s="145"/>
    </row>
    <row r="73" spans="1:15" x14ac:dyDescent="0.25">
      <c r="A73" s="137">
        <v>66</v>
      </c>
      <c r="B73" s="138" t="s">
        <v>206</v>
      </c>
      <c r="C73" s="138" t="s">
        <v>208</v>
      </c>
      <c r="D73" s="140">
        <v>21000</v>
      </c>
      <c r="E73" s="140">
        <v>32000</v>
      </c>
      <c r="F73" s="141">
        <v>10</v>
      </c>
      <c r="G73" s="142">
        <v>1</v>
      </c>
      <c r="H73" s="141">
        <f>(Table24232567891011121314151620[[#This Row],[STOK]]-Table24232567891011121314151620[[#This Row],[TERJUAL]])</f>
        <v>9</v>
      </c>
      <c r="I73" s="143">
        <f>(Table24232567891011121314151620[HARGA JUAL]*Table24232567891011121314151620[TERJUAL])-(Table24232567891011121314151620[HARGA POKOK]*Table24232567891011121314151620[TERJUAL])</f>
        <v>11000</v>
      </c>
      <c r="J73" s="143">
        <f>(Table24232567891011121314151620[HARGA JUAL]*Table24232567891011121314151620[TERJUAL])</f>
        <v>32000</v>
      </c>
      <c r="K73" s="143">
        <f>Table24232567891011121314151620[HARGA JUAL]*Table24232567891011121314151620[SISA]</f>
        <v>288000</v>
      </c>
      <c r="L73" s="144">
        <f>Table24232567891011121314151620[HARGA POKOK]*Table24232567891011121314151620[STOK]</f>
        <v>210000</v>
      </c>
      <c r="M73" s="144">
        <f>Table24232567891011121314151620[HARGA JUAL]*Table24232567891011121314151620[STOK]</f>
        <v>320000</v>
      </c>
      <c r="N73" s="145"/>
    </row>
    <row r="74" spans="1:15" x14ac:dyDescent="0.25">
      <c r="A74" s="137">
        <v>67</v>
      </c>
      <c r="B74" s="138" t="s">
        <v>209</v>
      </c>
      <c r="C74" s="138" t="s">
        <v>210</v>
      </c>
      <c r="D74" s="140">
        <v>20000</v>
      </c>
      <c r="E74" s="140">
        <v>40000</v>
      </c>
      <c r="F74" s="141">
        <v>3</v>
      </c>
      <c r="G74" s="142">
        <v>1</v>
      </c>
      <c r="H74" s="141">
        <f>(Table24232567891011121314151620[[#This Row],[STOK]]-Table24232567891011121314151620[[#This Row],[TERJUAL]])</f>
        <v>2</v>
      </c>
      <c r="I74" s="143">
        <f>(Table24232567891011121314151620[HARGA JUAL]*Table24232567891011121314151620[TERJUAL])-(Table24232567891011121314151620[HARGA POKOK]*Table24232567891011121314151620[TERJUAL])</f>
        <v>20000</v>
      </c>
      <c r="J74" s="143">
        <f>(Table24232567891011121314151620[HARGA JUAL]*Table24232567891011121314151620[TERJUAL])</f>
        <v>40000</v>
      </c>
      <c r="K74" s="143">
        <f>Table24232567891011121314151620[HARGA JUAL]*Table24232567891011121314151620[SISA]</f>
        <v>80000</v>
      </c>
      <c r="L74" s="144">
        <f>Table24232567891011121314151620[HARGA POKOK]*Table24232567891011121314151620[STOK]</f>
        <v>60000</v>
      </c>
      <c r="M74" s="144">
        <f>Table24232567891011121314151620[HARGA JUAL]*Table24232567891011121314151620[STOK]</f>
        <v>120000</v>
      </c>
      <c r="N74" s="145"/>
    </row>
    <row r="75" spans="1:15" x14ac:dyDescent="0.25">
      <c r="A75" s="137">
        <v>68</v>
      </c>
      <c r="B75" s="138" t="s">
        <v>209</v>
      </c>
      <c r="C75" s="138" t="s">
        <v>211</v>
      </c>
      <c r="D75" s="140">
        <v>26000</v>
      </c>
      <c r="E75" s="140">
        <v>45000</v>
      </c>
      <c r="F75" s="141">
        <v>3</v>
      </c>
      <c r="G75" s="142"/>
      <c r="H75" s="141">
        <f>(Table24232567891011121314151620[[#This Row],[STOK]]-Table24232567891011121314151620[[#This Row],[TERJUAL]])</f>
        <v>3</v>
      </c>
      <c r="I75" s="143">
        <f>(Table24232567891011121314151620[HARGA JUAL]*Table24232567891011121314151620[TERJUAL])-(Table24232567891011121314151620[HARGA POKOK]*Table24232567891011121314151620[TERJUAL])</f>
        <v>0</v>
      </c>
      <c r="J75" s="143">
        <f>(Table24232567891011121314151620[HARGA JUAL]*Table24232567891011121314151620[TERJUAL])</f>
        <v>0</v>
      </c>
      <c r="K75" s="143">
        <f>Table24232567891011121314151620[HARGA JUAL]*Table24232567891011121314151620[SISA]</f>
        <v>135000</v>
      </c>
      <c r="L75" s="144">
        <f>Table24232567891011121314151620[HARGA POKOK]*Table24232567891011121314151620[STOK]</f>
        <v>78000</v>
      </c>
      <c r="M75" s="144">
        <f>Table24232567891011121314151620[HARGA JUAL]*Table24232567891011121314151620[STOK]</f>
        <v>135000</v>
      </c>
      <c r="N75" s="145"/>
    </row>
    <row r="76" spans="1:15" x14ac:dyDescent="0.25">
      <c r="A76" s="137">
        <v>69</v>
      </c>
      <c r="B76" s="138" t="s">
        <v>212</v>
      </c>
      <c r="C76" s="138" t="s">
        <v>213</v>
      </c>
      <c r="D76" s="140">
        <v>600000</v>
      </c>
      <c r="E76" s="140">
        <v>800000</v>
      </c>
      <c r="F76" s="141">
        <v>1</v>
      </c>
      <c r="G76" s="142"/>
      <c r="H76" s="141">
        <f>(Table24232567891011121314151620[[#This Row],[STOK]]-Table24232567891011121314151620[[#This Row],[TERJUAL]])</f>
        <v>1</v>
      </c>
      <c r="I76" s="143">
        <f>(Table24232567891011121314151620[HARGA JUAL]*Table24232567891011121314151620[TERJUAL])-(Table24232567891011121314151620[HARGA POKOK]*Table24232567891011121314151620[TERJUAL])</f>
        <v>0</v>
      </c>
      <c r="J76" s="143">
        <f>(Table24232567891011121314151620[HARGA JUAL]*Table24232567891011121314151620[TERJUAL])</f>
        <v>0</v>
      </c>
      <c r="K76" s="143">
        <f>Table24232567891011121314151620[HARGA JUAL]*Table24232567891011121314151620[SISA]</f>
        <v>800000</v>
      </c>
      <c r="L76" s="144">
        <f>Table24232567891011121314151620[HARGA POKOK]*Table24232567891011121314151620[STOK]</f>
        <v>600000</v>
      </c>
      <c r="M76" s="144">
        <f>Table24232567891011121314151620[HARGA JUAL]*Table24232567891011121314151620[STOK]</f>
        <v>800000</v>
      </c>
      <c r="N76" s="145"/>
    </row>
    <row r="77" spans="1:15" x14ac:dyDescent="0.25">
      <c r="A77" s="192">
        <v>70</v>
      </c>
      <c r="B77" s="193" t="s">
        <v>194</v>
      </c>
      <c r="C77" s="193" t="s">
        <v>194</v>
      </c>
      <c r="D77" s="194">
        <v>30000</v>
      </c>
      <c r="E77" s="194">
        <v>40000</v>
      </c>
      <c r="F77" s="195">
        <v>11</v>
      </c>
      <c r="G77" s="196">
        <v>2</v>
      </c>
      <c r="H77" s="195">
        <f>(Table24232567891011121314151620[[#This Row],[STOK]]-Table24232567891011121314151620[[#This Row],[TERJUAL]])</f>
        <v>9</v>
      </c>
      <c r="I77" s="197">
        <f>(Table24232567891011121314151620[HARGA JUAL]*Table24232567891011121314151620[TERJUAL])-(Table24232567891011121314151620[HARGA POKOK]*Table24232567891011121314151620[TERJUAL])</f>
        <v>20000</v>
      </c>
      <c r="J77" s="197">
        <f>(Table24232567891011121314151620[HARGA JUAL]*Table24232567891011121314151620[TERJUAL])</f>
        <v>80000</v>
      </c>
      <c r="K77" s="197"/>
      <c r="L77" s="198"/>
      <c r="M77" s="198"/>
      <c r="N77" s="199"/>
    </row>
    <row r="78" spans="1:15" x14ac:dyDescent="0.25">
      <c r="A78" s="137">
        <v>71</v>
      </c>
      <c r="B78" s="146" t="s">
        <v>195</v>
      </c>
      <c r="C78" s="146" t="s">
        <v>195</v>
      </c>
      <c r="D78" s="147">
        <v>30000</v>
      </c>
      <c r="E78" s="147">
        <v>40000</v>
      </c>
      <c r="F78" s="148">
        <v>15</v>
      </c>
      <c r="G78" s="149">
        <v>1</v>
      </c>
      <c r="H78" s="148">
        <f>(Table24232567891011121314151620[[#This Row],[STOK]]-Table24232567891011121314151620[[#This Row],[TERJUAL]])</f>
        <v>14</v>
      </c>
      <c r="I78" s="150">
        <f>(Table24232567891011121314151620[HARGA JUAL]*Table24232567891011121314151620[TERJUAL])-(Table24232567891011121314151620[HARGA POKOK]*Table24232567891011121314151620[TERJUAL])</f>
        <v>10000</v>
      </c>
      <c r="J78" s="150">
        <f>(Table24232567891011121314151620[HARGA JUAL]*Table24232567891011121314151620[TERJUAL])</f>
        <v>40000</v>
      </c>
      <c r="K78" s="150">
        <f>Table24232567891011121314151620[HARGA JUAL]*Table24232567891011121314151620[SISA]</f>
        <v>560000</v>
      </c>
      <c r="L78" s="151">
        <f>Table24232567891011121314151620[HARGA POKOK]*Table24232567891011121314151620[STOK]</f>
        <v>450000</v>
      </c>
      <c r="M78" s="151">
        <f>Table24232567891011121314151620[HARGA JUAL]*Table24232567891011121314151620[STOK]</f>
        <v>600000</v>
      </c>
      <c r="N78" s="152"/>
    </row>
    <row r="79" spans="1:15" x14ac:dyDescent="0.25">
      <c r="A79" s="192">
        <v>72</v>
      </c>
      <c r="B79" s="193" t="s">
        <v>215</v>
      </c>
      <c r="C79" s="193" t="s">
        <v>215</v>
      </c>
      <c r="D79" s="194">
        <v>310000</v>
      </c>
      <c r="E79" s="194">
        <v>410000</v>
      </c>
      <c r="F79" s="195">
        <v>5</v>
      </c>
      <c r="G79" s="196">
        <v>3</v>
      </c>
      <c r="H79" s="195">
        <f>(Table24232567891011121314151620[[#This Row],[STOK]]-Table24232567891011121314151620[[#This Row],[TERJUAL]])</f>
        <v>2</v>
      </c>
      <c r="I79" s="197">
        <f>(Table24232567891011121314151620[HARGA JUAL]*Table24232567891011121314151620[TERJUAL])-(Table24232567891011121314151620[HARGA POKOK]*Table24232567891011121314151620[TERJUAL])</f>
        <v>300000</v>
      </c>
      <c r="J79" s="197">
        <f>(Table24232567891011121314151620[HARGA JUAL]*Table24232567891011121314151620[TERJUAL])</f>
        <v>1230000</v>
      </c>
      <c r="K79" s="197">
        <f>Table24232567891011121314151620[HARGA JUAL]*Table24232567891011121314151620[SISA]</f>
        <v>820000</v>
      </c>
      <c r="L79" s="198">
        <f>Table24232567891011121314151620[HARGA POKOK]*Table24232567891011121314151620[STOK]</f>
        <v>1550000</v>
      </c>
      <c r="M79" s="198">
        <f>Table24232567891011121314151620[HARGA JUAL]*Table24232567891011121314151620[STOK]</f>
        <v>2050000</v>
      </c>
      <c r="N79" s="199"/>
    </row>
    <row r="80" spans="1:15" s="180" customFormat="1" x14ac:dyDescent="0.25">
      <c r="A80" s="137">
        <v>73</v>
      </c>
      <c r="B80" s="153" t="s">
        <v>212</v>
      </c>
      <c r="C80" s="153" t="s">
        <v>213</v>
      </c>
      <c r="D80" s="154">
        <v>6000</v>
      </c>
      <c r="E80" s="154">
        <v>8000</v>
      </c>
      <c r="F80" s="155"/>
      <c r="G80" s="178"/>
      <c r="H80" s="155">
        <f>(Table24232567891011121314151620[[#This Row],[STOK]]-Table24232567891011121314151620[[#This Row],[TERJUAL]])</f>
        <v>0</v>
      </c>
      <c r="I80" s="157">
        <f>(Table24232567891011121314151620[HARGA JUAL]*Table24232567891011121314151620[TERJUAL])-(Table24232567891011121314151620[HARGA POKOK]*Table24232567891011121314151620[TERJUAL])</f>
        <v>0</v>
      </c>
      <c r="J80" s="157">
        <f>(Table24232567891011121314151620[HARGA JUAL]*Table24232567891011121314151620[TERJUAL])</f>
        <v>0</v>
      </c>
      <c r="K80" s="157"/>
      <c r="L80" s="158"/>
      <c r="M80" s="158"/>
      <c r="N80" s="179"/>
      <c r="O80" s="201"/>
    </row>
    <row r="81" spans="1:15" s="180" customFormat="1" x14ac:dyDescent="0.25">
      <c r="A81" s="137">
        <v>74</v>
      </c>
      <c r="B81" s="153" t="s">
        <v>71</v>
      </c>
      <c r="C81" s="153" t="s">
        <v>194</v>
      </c>
      <c r="D81" s="154">
        <v>1200</v>
      </c>
      <c r="E81" s="154">
        <v>2000</v>
      </c>
      <c r="F81" s="155"/>
      <c r="G81" s="156"/>
      <c r="H81" s="155">
        <f>(Table24232567891011121314151620[[#This Row],[STOK]]-Table24232567891011121314151620[[#This Row],[TERJUAL]])</f>
        <v>0</v>
      </c>
      <c r="I81" s="157">
        <f>(Table24232567891011121314151620[HARGA JUAL]*Table24232567891011121314151620[TERJUAL])-(Table24232567891011121314151620[HARGA POKOK]*Table24232567891011121314151620[TERJUAL])</f>
        <v>0</v>
      </c>
      <c r="J81" s="157">
        <f>(Table24232567891011121314151620[HARGA JUAL]*Table24232567891011121314151620[TERJUAL])</f>
        <v>0</v>
      </c>
      <c r="K81" s="157"/>
      <c r="L81" s="158"/>
      <c r="M81" s="158"/>
      <c r="N81" s="179"/>
      <c r="O81" s="201"/>
    </row>
    <row r="82" spans="1:15" s="180" customFormat="1" x14ac:dyDescent="0.25">
      <c r="A82" s="137">
        <v>75</v>
      </c>
      <c r="B82" s="153" t="s">
        <v>71</v>
      </c>
      <c r="C82" s="153" t="s">
        <v>195</v>
      </c>
      <c r="D82" s="154">
        <v>700</v>
      </c>
      <c r="E82" s="154">
        <v>1500</v>
      </c>
      <c r="F82" s="155"/>
      <c r="G82" s="156">
        <v>45</v>
      </c>
      <c r="H82" s="155">
        <f>(Table24232567891011121314151620[[#This Row],[STOK]]-Table24232567891011121314151620[[#This Row],[TERJUAL]])</f>
        <v>-45</v>
      </c>
      <c r="I82" s="157">
        <f>(Table24232567891011121314151620[HARGA JUAL]*Table24232567891011121314151620[TERJUAL])-(Table24232567891011121314151620[HARGA POKOK]*Table24232567891011121314151620[TERJUAL])</f>
        <v>36000</v>
      </c>
      <c r="J82" s="157">
        <f>(Table24232567891011121314151620[HARGA JUAL]*Table24232567891011121314151620[TERJUAL])</f>
        <v>67500</v>
      </c>
      <c r="K82" s="157"/>
      <c r="L82" s="158"/>
      <c r="M82" s="158"/>
      <c r="N82" s="179"/>
      <c r="O82" s="201"/>
    </row>
    <row r="83" spans="1:15" s="201" customFormat="1" x14ac:dyDescent="0.25">
      <c r="A83" s="261">
        <v>76</v>
      </c>
      <c r="B83" s="256" t="s">
        <v>68</v>
      </c>
      <c r="C83" s="256" t="s">
        <v>69</v>
      </c>
      <c r="D83" s="268">
        <v>7300</v>
      </c>
      <c r="E83" s="262">
        <v>11000</v>
      </c>
      <c r="F83" s="263"/>
      <c r="G83" s="269">
        <v>1026</v>
      </c>
      <c r="H83" s="263">
        <f>(Table24232567891011121314151620[[#This Row],[STOK]]-Table24232567891011121314151620[[#This Row],[TERJUAL]])</f>
        <v>-1026</v>
      </c>
      <c r="I83" s="265">
        <f>(Table24232567891011121314151620[HARGA JUAL]*Table24232567891011121314151620[TERJUAL])-(Table24232567891011121314151620[HARGA POKOK]*Table24232567891011121314151620[TERJUAL])</f>
        <v>3796200</v>
      </c>
      <c r="J83" s="265">
        <f>(Table24232567891011121314151620[HARGA JUAL]*Table24232567891011121314151620[TERJUAL])</f>
        <v>11286000</v>
      </c>
      <c r="K83" s="265"/>
      <c r="L83" s="266"/>
      <c r="M83" s="266"/>
      <c r="N83" s="267"/>
    </row>
    <row r="84" spans="1:15" s="180" customFormat="1" x14ac:dyDescent="0.25">
      <c r="A84" s="137">
        <v>77</v>
      </c>
      <c r="B84" s="153" t="s">
        <v>173</v>
      </c>
      <c r="C84" s="153" t="s">
        <v>174</v>
      </c>
      <c r="D84" s="159">
        <v>9040</v>
      </c>
      <c r="E84" s="154">
        <v>12000</v>
      </c>
      <c r="F84" s="155"/>
      <c r="G84" s="156"/>
      <c r="H84" s="155">
        <f>(Table24232567891011121314151620[[#This Row],[STOK]]-Table24232567891011121314151620[[#This Row],[TERJUAL]])</f>
        <v>0</v>
      </c>
      <c r="I84" s="157">
        <f>(Table24232567891011121314151620[HARGA JUAL]*Table24232567891011121314151620[TERJUAL])-(Table24232567891011121314151620[HARGA POKOK]*Table24232567891011121314151620[TERJUAL])</f>
        <v>0</v>
      </c>
      <c r="J84" s="157">
        <f>(Table24232567891011121314151620[HARGA JUAL]*Table24232567891011121314151620[TERJUAL])</f>
        <v>0</v>
      </c>
      <c r="K84" s="157"/>
      <c r="L84" s="158"/>
      <c r="M84" s="158"/>
      <c r="N84" s="179"/>
      <c r="O84" s="201"/>
    </row>
    <row r="85" spans="1:15" s="180" customFormat="1" x14ac:dyDescent="0.25">
      <c r="A85" s="137">
        <v>78</v>
      </c>
      <c r="B85" s="153" t="s">
        <v>146</v>
      </c>
      <c r="C85" s="153" t="s">
        <v>152</v>
      </c>
      <c r="D85" s="159">
        <v>6200</v>
      </c>
      <c r="E85" s="154">
        <v>10000</v>
      </c>
      <c r="F85" s="155"/>
      <c r="G85" s="160"/>
      <c r="H85" s="155">
        <f>(Table24232567891011121314151620[[#This Row],[STOK]]-Table24232567891011121314151620[[#This Row],[TERJUAL]])</f>
        <v>0</v>
      </c>
      <c r="I85" s="157">
        <f>(Table24232567891011121314151620[HARGA JUAL]*Table24232567891011121314151620[TERJUAL])-(Table24232567891011121314151620[HARGA POKOK]*Table24232567891011121314151620[TERJUAL])</f>
        <v>0</v>
      </c>
      <c r="J85" s="157">
        <f>(Table24232567891011121314151620[HARGA JUAL]*Table24232567891011121314151620[TERJUAL])</f>
        <v>0</v>
      </c>
      <c r="K85" s="157"/>
      <c r="L85" s="158"/>
      <c r="M85" s="158"/>
      <c r="N85" s="179"/>
      <c r="O85" s="201"/>
    </row>
    <row r="86" spans="1:15" s="180" customFormat="1" x14ac:dyDescent="0.25">
      <c r="A86" s="137">
        <v>79</v>
      </c>
      <c r="B86" s="153" t="s">
        <v>321</v>
      </c>
      <c r="C86" s="153" t="s">
        <v>269</v>
      </c>
      <c r="D86" s="159">
        <v>9700</v>
      </c>
      <c r="E86" s="154">
        <v>12000</v>
      </c>
      <c r="F86" s="155"/>
      <c r="G86" s="160" t="s">
        <v>323</v>
      </c>
      <c r="H86" s="155">
        <f>(Table24232567891011121314151620[[#This Row],[STOK]]-Table24232567891011121314151620[[#This Row],[TERJUAL]])</f>
        <v>-50</v>
      </c>
      <c r="I86" s="157">
        <f>(Table24232567891011121314151620[HARGA JUAL]*Table24232567891011121314151620[TERJUAL])-(Table24232567891011121314151620[HARGA POKOK]*Table24232567891011121314151620[TERJUAL])</f>
        <v>115000</v>
      </c>
      <c r="J86" s="157">
        <f>(Table24232567891011121314151620[HARGA JUAL]*Table24232567891011121314151620[TERJUAL])</f>
        <v>600000</v>
      </c>
      <c r="K86" s="157"/>
      <c r="L86" s="158"/>
      <c r="M86" s="158"/>
      <c r="N86" s="179"/>
      <c r="O86" s="201"/>
    </row>
    <row r="87" spans="1:15" s="180" customFormat="1" x14ac:dyDescent="0.25">
      <c r="A87" s="137">
        <v>80</v>
      </c>
      <c r="B87" s="167" t="s">
        <v>31</v>
      </c>
      <c r="C87" s="167" t="s">
        <v>282</v>
      </c>
      <c r="D87" s="168">
        <v>3000</v>
      </c>
      <c r="E87" s="169">
        <v>5000</v>
      </c>
      <c r="F87" s="170"/>
      <c r="G87" s="171">
        <v>3</v>
      </c>
      <c r="H87" s="172">
        <f>(Table24232567891011121314151620[[#This Row],[STOK]]-Table24232567891011121314151620[[#This Row],[TERJUAL]])</f>
        <v>-3</v>
      </c>
      <c r="I87" s="173">
        <f>(Table24232567891011121314151620[HARGA JUAL]*Table24232567891011121314151620[TERJUAL])-(Table24232567891011121314151620[HARGA POKOK]*Table24232567891011121314151620[TERJUAL])</f>
        <v>6000</v>
      </c>
      <c r="J87" s="173">
        <f>(Table24232567891011121314151620[HARGA JUAL]*Table24232567891011121314151620[TERJUAL])</f>
        <v>15000</v>
      </c>
      <c r="K87" s="173"/>
      <c r="L87" s="174"/>
      <c r="M87" s="174"/>
      <c r="N87" s="181"/>
      <c r="O87" s="201"/>
    </row>
    <row r="88" spans="1:15" s="180" customFormat="1" x14ac:dyDescent="0.25">
      <c r="A88" s="255"/>
      <c r="B88" s="167" t="s">
        <v>31</v>
      </c>
      <c r="C88" s="167" t="s">
        <v>283</v>
      </c>
      <c r="D88" s="168">
        <v>3000</v>
      </c>
      <c r="E88" s="169">
        <v>5000</v>
      </c>
      <c r="F88" s="170"/>
      <c r="G88" s="171">
        <v>3</v>
      </c>
      <c r="H88" s="172">
        <f>(Table24232567891011121314151620[[#This Row],[STOK]]-Table24232567891011121314151620[[#This Row],[TERJUAL]])</f>
        <v>-3</v>
      </c>
      <c r="I88" s="173">
        <f>(Table24232567891011121314151620[HARGA JUAL]*Table24232567891011121314151620[TERJUAL])-(Table24232567891011121314151620[HARGA POKOK]*Table24232567891011121314151620[TERJUAL])</f>
        <v>6000</v>
      </c>
      <c r="J88" s="173">
        <f>(Table24232567891011121314151620[HARGA JUAL]*Table24232567891011121314151620[TERJUAL])</f>
        <v>15000</v>
      </c>
      <c r="K88" s="173"/>
      <c r="L88" s="174">
        <f>Table24232567891011121314151620[HARGA POKOK]*Table24232567891011121314151620[STOK]</f>
        <v>0</v>
      </c>
      <c r="M88" s="174">
        <f>Table24232567891011121314151620[HARGA JUAL]*Table24232567891011121314151620[STOK]</f>
        <v>0</v>
      </c>
      <c r="N88" s="181"/>
      <c r="O88" s="201"/>
    </row>
    <row r="89" spans="1:15" s="180" customFormat="1" x14ac:dyDescent="0.25">
      <c r="A89" s="255"/>
      <c r="B89" s="167" t="s">
        <v>31</v>
      </c>
      <c r="C89" s="167" t="s">
        <v>284</v>
      </c>
      <c r="D89" s="168">
        <v>3000</v>
      </c>
      <c r="E89" s="169">
        <v>5000</v>
      </c>
      <c r="F89" s="170"/>
      <c r="G89" s="171">
        <v>9</v>
      </c>
      <c r="H89" s="172">
        <f>(Table24232567891011121314151620[[#This Row],[STOK]]-Table24232567891011121314151620[[#This Row],[TERJUAL]])</f>
        <v>-9</v>
      </c>
      <c r="I89" s="173">
        <f>(Table24232567891011121314151620[HARGA JUAL]*Table24232567891011121314151620[TERJUAL])-(Table24232567891011121314151620[HARGA POKOK]*Table24232567891011121314151620[TERJUAL])</f>
        <v>18000</v>
      </c>
      <c r="J89" s="173">
        <f>(Table24232567891011121314151620[HARGA JUAL]*Table24232567891011121314151620[TERJUAL])</f>
        <v>45000</v>
      </c>
      <c r="K89" s="173"/>
      <c r="L89" s="174">
        <f>Table24232567891011121314151620[HARGA POKOK]*Table24232567891011121314151620[STOK]</f>
        <v>0</v>
      </c>
      <c r="M89" s="174">
        <f>Table24232567891011121314151620[HARGA JUAL]*Table24232567891011121314151620[STOK]</f>
        <v>0</v>
      </c>
      <c r="N89" s="181"/>
      <c r="O89" s="201"/>
    </row>
    <row r="90" spans="1:15" s="180" customFormat="1" x14ac:dyDescent="0.25">
      <c r="A90" s="255"/>
      <c r="B90" s="167" t="s">
        <v>31</v>
      </c>
      <c r="C90" s="167" t="s">
        <v>307</v>
      </c>
      <c r="D90" s="168">
        <v>2000</v>
      </c>
      <c r="E90" s="169">
        <v>5000</v>
      </c>
      <c r="F90" s="170"/>
      <c r="G90" s="171">
        <v>31</v>
      </c>
      <c r="H90" s="172">
        <f>(Table24232567891011121314151620[[#This Row],[STOK]]-Table24232567891011121314151620[[#This Row],[TERJUAL]])</f>
        <v>-31</v>
      </c>
      <c r="I90" s="173">
        <f>(Table24232567891011121314151620[HARGA JUAL]*Table24232567891011121314151620[TERJUAL])-(Table24232567891011121314151620[HARGA POKOK]*Table24232567891011121314151620[TERJUAL])</f>
        <v>93000</v>
      </c>
      <c r="J90" s="173">
        <f>(Table24232567891011121314151620[HARGA JUAL]*Table24232567891011121314151620[TERJUAL])</f>
        <v>155000</v>
      </c>
      <c r="K90" s="173">
        <f>Table24232567891011121314151620[HARGA JUAL]*Table24232567891011121314151620[SISA]</f>
        <v>-155000</v>
      </c>
      <c r="L90" s="174">
        <f>Table24232567891011121314151620[HARGA POKOK]*Table24232567891011121314151620[STOK]</f>
        <v>0</v>
      </c>
      <c r="M90" s="174">
        <f>Table24232567891011121314151620[HARGA JUAL]*Table24232567891011121314151620[STOK]</f>
        <v>0</v>
      </c>
      <c r="N90" s="181"/>
      <c r="O90" s="201"/>
    </row>
    <row r="91" spans="1:15" s="180" customFormat="1" x14ac:dyDescent="0.25">
      <c r="A91" s="255"/>
      <c r="B91" s="167" t="s">
        <v>308</v>
      </c>
      <c r="C91" s="167" t="s">
        <v>205</v>
      </c>
      <c r="D91" s="168">
        <v>45000</v>
      </c>
      <c r="E91" s="169">
        <v>50000</v>
      </c>
      <c r="F91" s="170">
        <v>83</v>
      </c>
      <c r="G91" s="171">
        <v>77</v>
      </c>
      <c r="H91" s="172">
        <f>(Table24232567891011121314151620[[#This Row],[STOK]]-Table24232567891011121314151620[[#This Row],[TERJUAL]])</f>
        <v>6</v>
      </c>
      <c r="I91" s="173">
        <f>(Table24232567891011121314151620[HARGA JUAL]*Table24232567891011121314151620[TERJUAL])-(Table24232567891011121314151620[HARGA POKOK]*Table24232567891011121314151620[TERJUAL])</f>
        <v>385000</v>
      </c>
      <c r="J91" s="173">
        <f>(Table24232567891011121314151620[HARGA JUAL]*Table24232567891011121314151620[TERJUAL])</f>
        <v>3850000</v>
      </c>
      <c r="K91" s="173">
        <f>Table24232567891011121314151620[HARGA JUAL]*Table24232567891011121314151620[SISA]</f>
        <v>300000</v>
      </c>
      <c r="L91" s="174">
        <f>Table24232567891011121314151620[HARGA POKOK]*Table24232567891011121314151620[STOK]</f>
        <v>3735000</v>
      </c>
      <c r="M91" s="174">
        <f>Table24232567891011121314151620[HARGA JUAL]*Table24232567891011121314151620[STOK]</f>
        <v>4150000</v>
      </c>
      <c r="N91" s="181"/>
      <c r="O91" s="201"/>
    </row>
    <row r="92" spans="1:15" ht="18.75" x14ac:dyDescent="0.25">
      <c r="A92" s="404" t="s">
        <v>8</v>
      </c>
      <c r="B92" s="404"/>
      <c r="C92" s="404"/>
      <c r="D92" s="404"/>
      <c r="E92" s="404"/>
      <c r="F92" s="39"/>
      <c r="G92" s="39"/>
      <c r="H92" s="40"/>
      <c r="I92" s="175">
        <f>SUM(I5:I91)</f>
        <v>24269900</v>
      </c>
      <c r="J92" s="176">
        <f>SUM(J5:J91)</f>
        <v>118330500</v>
      </c>
      <c r="K92" s="41">
        <f>SUBTOTAL(109,Table24232567891011121314151620[TOTAL HARGA SISA BARANG])</f>
        <v>192601000</v>
      </c>
      <c r="L92" s="177">
        <f>SUM(L5:L91)</f>
        <v>238168900</v>
      </c>
      <c r="M92" s="42">
        <f>SUM(M5:M70)</f>
        <v>289468000</v>
      </c>
      <c r="N92" s="145"/>
    </row>
    <row r="93" spans="1:15" x14ac:dyDescent="0.25">
      <c r="B93" s="1"/>
      <c r="C93" s="3"/>
      <c r="G93" s="1"/>
      <c r="H93" s="11"/>
      <c r="I93" s="6"/>
      <c r="J93" s="6"/>
      <c r="K93" s="6"/>
      <c r="L93" s="1"/>
      <c r="M93" s="1"/>
    </row>
    <row r="94" spans="1:15" x14ac:dyDescent="0.25">
      <c r="A94" s="165"/>
      <c r="B94" s="28"/>
      <c r="C94" s="28"/>
      <c r="E94" s="386" t="s">
        <v>304</v>
      </c>
      <c r="F94" s="386"/>
      <c r="G94" s="386"/>
      <c r="H94" s="386"/>
      <c r="I94" s="386"/>
      <c r="J94" s="386"/>
      <c r="K94" s="302"/>
      <c r="L94" s="1"/>
      <c r="M94" s="1"/>
    </row>
    <row r="95" spans="1:15" x14ac:dyDescent="0.25">
      <c r="A95" s="165" t="s">
        <v>198</v>
      </c>
      <c r="B95" s="28"/>
      <c r="C95" s="28"/>
      <c r="E95" s="161"/>
      <c r="F95" s="161"/>
      <c r="G95" s="387"/>
      <c r="H95" s="387"/>
      <c r="I95" s="28"/>
      <c r="J95" s="28"/>
      <c r="K95" s="28"/>
      <c r="L95" s="7"/>
    </row>
    <row r="96" spans="1:15" x14ac:dyDescent="0.25">
      <c r="A96" s="165" t="s">
        <v>199</v>
      </c>
      <c r="B96" s="1"/>
      <c r="C96" s="3"/>
      <c r="E96" s="161"/>
      <c r="F96" s="161"/>
      <c r="G96" s="94"/>
      <c r="H96" s="94"/>
      <c r="I96" s="28"/>
      <c r="J96" s="28"/>
      <c r="K96" s="28"/>
      <c r="L96" s="28"/>
    </row>
    <row r="97" spans="1:13" x14ac:dyDescent="0.25">
      <c r="A97" s="165" t="s">
        <v>200</v>
      </c>
      <c r="E97" s="43" t="s">
        <v>82</v>
      </c>
      <c r="F97" s="44"/>
      <c r="G97" s="390">
        <f>SUBTOTAL(109,Table24232567891011121314151620[TOTAL H. B. LAKU TERJUAL])</f>
        <v>118330500</v>
      </c>
      <c r="H97" s="390"/>
      <c r="I97" s="390"/>
      <c r="J97" s="43"/>
      <c r="K97" s="7"/>
      <c r="L97" s="27"/>
      <c r="M97" s="1"/>
    </row>
    <row r="98" spans="1:13" x14ac:dyDescent="0.25">
      <c r="A98" s="165" t="s">
        <v>317</v>
      </c>
      <c r="C98" s="1"/>
      <c r="E98" s="43"/>
      <c r="F98" s="44"/>
      <c r="G98" s="303"/>
      <c r="H98" s="303"/>
      <c r="I98" s="303"/>
      <c r="J98" s="43"/>
      <c r="K98" s="7"/>
      <c r="L98" s="27"/>
      <c r="M98" s="1"/>
    </row>
    <row r="99" spans="1:13" x14ac:dyDescent="0.25">
      <c r="A99" s="407" t="s">
        <v>0</v>
      </c>
      <c r="B99" s="406" t="s">
        <v>275</v>
      </c>
      <c r="C99" s="406"/>
      <c r="E99" s="43" t="s">
        <v>83</v>
      </c>
      <c r="F99" s="45" t="s">
        <v>84</v>
      </c>
      <c r="G99" s="391">
        <v>1874000</v>
      </c>
      <c r="H99" s="391"/>
      <c r="I99" s="391"/>
      <c r="J99" s="43"/>
      <c r="K99" s="7"/>
      <c r="L99" s="27"/>
      <c r="M99" s="1"/>
    </row>
    <row r="100" spans="1:13" x14ac:dyDescent="0.25">
      <c r="A100" s="407"/>
      <c r="B100" s="225" t="s">
        <v>276</v>
      </c>
      <c r="C100" s="228" t="s">
        <v>277</v>
      </c>
      <c r="E100" s="43" t="s">
        <v>8</v>
      </c>
      <c r="F100" s="43"/>
      <c r="G100" s="392">
        <v>116456500</v>
      </c>
      <c r="H100" s="392"/>
      <c r="I100" s="392"/>
      <c r="J100" s="43"/>
      <c r="K100" s="7"/>
      <c r="L100" s="27"/>
      <c r="M100" s="1"/>
    </row>
    <row r="101" spans="1:13" x14ac:dyDescent="0.25">
      <c r="A101" s="145"/>
      <c r="B101" s="228">
        <v>149</v>
      </c>
      <c r="C101" s="228">
        <v>25</v>
      </c>
      <c r="M101" s="1"/>
    </row>
    <row r="102" spans="1:13" x14ac:dyDescent="0.25">
      <c r="A102" s="7"/>
      <c r="B102" s="304"/>
      <c r="C102" s="304"/>
      <c r="M102" s="1"/>
    </row>
    <row r="103" spans="1:13" x14ac:dyDescent="0.25">
      <c r="A103" s="7"/>
      <c r="B103" s="304"/>
      <c r="C103" s="304"/>
      <c r="M103" s="1"/>
    </row>
    <row r="104" spans="1:13" x14ac:dyDescent="0.25">
      <c r="A104" s="7"/>
      <c r="B104" s="304"/>
      <c r="C104" s="304"/>
      <c r="M104" s="1"/>
    </row>
    <row r="105" spans="1:13" x14ac:dyDescent="0.25">
      <c r="A105" s="7"/>
      <c r="B105" s="304"/>
      <c r="C105" s="304"/>
      <c r="M105" s="1"/>
    </row>
    <row r="106" spans="1:13" x14ac:dyDescent="0.25">
      <c r="A106" s="7"/>
      <c r="B106" s="304"/>
      <c r="C106" s="304"/>
      <c r="M106" s="1"/>
    </row>
    <row r="107" spans="1:13" x14ac:dyDescent="0.25">
      <c r="A107" s="7"/>
      <c r="B107" s="304"/>
      <c r="C107" s="304"/>
      <c r="M107" s="1"/>
    </row>
    <row r="108" spans="1:13" x14ac:dyDescent="0.25">
      <c r="A108" s="7"/>
      <c r="B108" s="305"/>
      <c r="C108" s="305"/>
      <c r="M108" s="1"/>
    </row>
    <row r="109" spans="1:13" x14ac:dyDescent="0.25">
      <c r="A109" s="7"/>
      <c r="B109" s="305"/>
      <c r="C109" s="305"/>
      <c r="M109" s="1"/>
    </row>
    <row r="110" spans="1:13" x14ac:dyDescent="0.25">
      <c r="A110" s="7"/>
      <c r="B110" s="305"/>
      <c r="C110" s="305"/>
      <c r="M110" s="1"/>
    </row>
    <row r="111" spans="1:13" x14ac:dyDescent="0.25">
      <c r="A111" s="7"/>
      <c r="B111" s="305"/>
      <c r="C111" s="305"/>
      <c r="M111" s="1"/>
    </row>
    <row r="112" spans="1:13" x14ac:dyDescent="0.25">
      <c r="A112" s="7"/>
      <c r="B112" s="305"/>
      <c r="C112" s="305"/>
      <c r="M112" s="1"/>
    </row>
    <row r="113" spans="1:13" x14ac:dyDescent="0.25">
      <c r="A113" s="7"/>
      <c r="B113" s="305"/>
      <c r="C113" s="305"/>
      <c r="M113" s="1"/>
    </row>
    <row r="114" spans="1:13" x14ac:dyDescent="0.25">
      <c r="A114" s="7"/>
      <c r="B114" s="305"/>
      <c r="C114" s="305"/>
      <c r="M114" s="1"/>
    </row>
    <row r="115" spans="1:13" x14ac:dyDescent="0.25">
      <c r="A115" s="7"/>
      <c r="B115" s="305"/>
      <c r="C115" s="305"/>
      <c r="M115" s="1"/>
    </row>
    <row r="116" spans="1:13" x14ac:dyDescent="0.25">
      <c r="A116" s="7"/>
      <c r="B116" s="305"/>
      <c r="C116" s="305"/>
      <c r="M116" s="1"/>
    </row>
    <row r="117" spans="1:13" x14ac:dyDescent="0.25">
      <c r="A117" s="7"/>
      <c r="B117" s="305"/>
      <c r="C117" s="305"/>
      <c r="M117" s="1"/>
    </row>
    <row r="118" spans="1:13" x14ac:dyDescent="0.25">
      <c r="A118" s="7"/>
      <c r="B118" s="305"/>
      <c r="C118" s="305"/>
      <c r="M118" s="1"/>
    </row>
    <row r="119" spans="1:13" x14ac:dyDescent="0.25">
      <c r="A119" s="7"/>
      <c r="B119" s="305"/>
      <c r="C119" s="305"/>
      <c r="M119" s="1"/>
    </row>
    <row r="120" spans="1:13" x14ac:dyDescent="0.25">
      <c r="A120" s="7"/>
      <c r="B120" s="304"/>
      <c r="C120" s="304"/>
      <c r="M120" s="1"/>
    </row>
    <row r="121" spans="1:13" x14ac:dyDescent="0.25">
      <c r="A121" s="7"/>
      <c r="B121" s="304"/>
      <c r="C121" s="304"/>
      <c r="M121" s="1"/>
    </row>
    <row r="122" spans="1:13" x14ac:dyDescent="0.25">
      <c r="A122" s="7"/>
      <c r="B122" s="305"/>
      <c r="C122" s="305"/>
      <c r="M122" s="1"/>
    </row>
    <row r="123" spans="1:13" x14ac:dyDescent="0.25">
      <c r="A123" s="7"/>
      <c r="B123" s="305"/>
      <c r="C123" s="305"/>
      <c r="M123" s="1"/>
    </row>
    <row r="124" spans="1:13" x14ac:dyDescent="0.25">
      <c r="A124" s="7"/>
      <c r="B124" s="305"/>
      <c r="C124" s="305"/>
      <c r="M124" s="1"/>
    </row>
    <row r="125" spans="1:13" x14ac:dyDescent="0.25">
      <c r="A125" s="7"/>
      <c r="B125" s="305"/>
      <c r="C125" s="305"/>
      <c r="M125" s="1"/>
    </row>
    <row r="126" spans="1:13" x14ac:dyDescent="0.25">
      <c r="A126" s="7"/>
      <c r="B126" s="305"/>
      <c r="C126" s="305"/>
      <c r="M126" s="1"/>
    </row>
    <row r="127" spans="1:13" x14ac:dyDescent="0.25">
      <c r="A127" s="7"/>
      <c r="B127" s="305"/>
      <c r="C127" s="305"/>
      <c r="M127" s="1"/>
    </row>
    <row r="128" spans="1:13" x14ac:dyDescent="0.25">
      <c r="A128" s="7"/>
      <c r="B128" s="304"/>
      <c r="C128" s="304"/>
      <c r="M128" s="1"/>
    </row>
    <row r="129" spans="1:13" x14ac:dyDescent="0.25">
      <c r="A129" s="7"/>
      <c r="B129" s="304"/>
      <c r="C129" s="304"/>
      <c r="M129" s="1"/>
    </row>
    <row r="130" spans="1:13" x14ac:dyDescent="0.25">
      <c r="A130" s="7"/>
      <c r="B130" s="304"/>
      <c r="C130" s="304"/>
      <c r="M130" s="1"/>
    </row>
    <row r="131" spans="1:13" ht="18.75" x14ac:dyDescent="0.3">
      <c r="A131" s="360" t="s">
        <v>99</v>
      </c>
      <c r="B131" s="360"/>
      <c r="C131" s="360"/>
      <c r="D131" s="360"/>
    </row>
    <row r="132" spans="1:13" ht="18.75" x14ac:dyDescent="0.3">
      <c r="A132" s="360" t="s">
        <v>306</v>
      </c>
      <c r="B132" s="360"/>
      <c r="C132" s="360"/>
      <c r="D132" s="360"/>
    </row>
    <row r="133" spans="1:13" ht="18.75" x14ac:dyDescent="0.3">
      <c r="A133" s="360" t="s">
        <v>75</v>
      </c>
      <c r="B133" s="360"/>
      <c r="C133" s="360"/>
      <c r="D133" s="360"/>
    </row>
    <row r="134" spans="1:13" ht="15.75" x14ac:dyDescent="0.25">
      <c r="A134" s="356" t="s">
        <v>111</v>
      </c>
      <c r="B134" s="357"/>
      <c r="C134" s="356" t="s">
        <v>77</v>
      </c>
      <c r="D134" s="357"/>
      <c r="E134" s="7"/>
    </row>
    <row r="135" spans="1:13" ht="15.75" x14ac:dyDescent="0.25">
      <c r="A135" s="300" t="s">
        <v>103</v>
      </c>
      <c r="B135" s="301"/>
      <c r="C135" s="46"/>
      <c r="D135" s="203"/>
      <c r="E135" s="218"/>
    </row>
    <row r="136" spans="1:13" ht="15.75" x14ac:dyDescent="0.25">
      <c r="A136" s="354" t="s">
        <v>102</v>
      </c>
      <c r="B136" s="355"/>
      <c r="C136" s="46">
        <v>116456500</v>
      </c>
      <c r="D136" s="204"/>
      <c r="E136" s="219"/>
    </row>
    <row r="137" spans="1:13" ht="15.75" x14ac:dyDescent="0.25">
      <c r="A137" s="356" t="s">
        <v>104</v>
      </c>
      <c r="B137" s="357"/>
      <c r="C137" s="46"/>
      <c r="D137" s="203">
        <v>116456500</v>
      </c>
      <c r="E137" s="219"/>
    </row>
    <row r="138" spans="1:13" ht="15.75" x14ac:dyDescent="0.25">
      <c r="A138" s="350" t="s">
        <v>106</v>
      </c>
      <c r="B138" s="351"/>
      <c r="C138" s="46"/>
      <c r="D138" s="204">
        <v>92186600</v>
      </c>
      <c r="E138" s="219"/>
      <c r="F138" s="220"/>
      <c r="G138" s="220"/>
      <c r="H138" s="221"/>
      <c r="I138" s="222"/>
    </row>
    <row r="139" spans="1:13" ht="15.75" x14ac:dyDescent="0.25">
      <c r="A139" s="400" t="s">
        <v>162</v>
      </c>
      <c r="B139" s="401"/>
      <c r="C139" s="49"/>
      <c r="D139" s="205">
        <v>24269900</v>
      </c>
      <c r="F139" s="7"/>
      <c r="G139" s="7"/>
      <c r="I139" s="186"/>
      <c r="L139" s="183"/>
    </row>
    <row r="140" spans="1:13" ht="15.75" x14ac:dyDescent="0.25">
      <c r="A140" s="346" t="s">
        <v>105</v>
      </c>
      <c r="B140" s="347"/>
      <c r="C140" s="46"/>
      <c r="D140" s="207"/>
      <c r="I140" s="186"/>
      <c r="L140" s="183"/>
    </row>
    <row r="141" spans="1:13" ht="15.75" x14ac:dyDescent="0.25">
      <c r="A141" s="348" t="s">
        <v>97</v>
      </c>
      <c r="B141" s="349"/>
      <c r="C141" s="46">
        <v>2000000</v>
      </c>
      <c r="D141" s="204"/>
      <c r="I141" s="187"/>
      <c r="L141" s="183"/>
    </row>
    <row r="142" spans="1:13" ht="15.75" x14ac:dyDescent="0.25">
      <c r="A142" s="350" t="s">
        <v>98</v>
      </c>
      <c r="B142" s="351"/>
      <c r="C142" s="46">
        <v>500000</v>
      </c>
      <c r="D142" s="204"/>
      <c r="L142" s="183"/>
    </row>
    <row r="143" spans="1:13" ht="15.75" x14ac:dyDescent="0.25">
      <c r="A143" s="350" t="s">
        <v>287</v>
      </c>
      <c r="B143" s="351"/>
      <c r="C143" s="46">
        <v>100000</v>
      </c>
      <c r="D143" s="204"/>
      <c r="L143" s="183"/>
    </row>
    <row r="144" spans="1:13" ht="15.75" x14ac:dyDescent="0.25">
      <c r="A144" s="350" t="s">
        <v>296</v>
      </c>
      <c r="B144" s="410"/>
      <c r="C144" s="46">
        <v>350000</v>
      </c>
      <c r="D144" s="204"/>
      <c r="L144" s="183"/>
    </row>
    <row r="145" spans="1:12" ht="15.75" x14ac:dyDescent="0.25">
      <c r="A145" s="350" t="s">
        <v>325</v>
      </c>
      <c r="B145" s="351"/>
      <c r="C145" s="46">
        <v>150000</v>
      </c>
      <c r="D145" s="204"/>
      <c r="L145" s="183"/>
    </row>
    <row r="146" spans="1:12" ht="15.75" x14ac:dyDescent="0.25">
      <c r="A146" s="408" t="s">
        <v>288</v>
      </c>
      <c r="B146" s="409"/>
      <c r="C146" s="114">
        <v>319000</v>
      </c>
      <c r="D146" s="208"/>
    </row>
    <row r="147" spans="1:12" ht="15.75" x14ac:dyDescent="0.25">
      <c r="A147" s="352" t="s">
        <v>107</v>
      </c>
      <c r="B147" s="353"/>
      <c r="C147" s="51" t="s">
        <v>117</v>
      </c>
      <c r="D147" s="209">
        <f>SUM(C141:C146)</f>
        <v>3419000</v>
      </c>
    </row>
    <row r="148" spans="1:12" ht="15.75" x14ac:dyDescent="0.25">
      <c r="A148" s="344" t="s">
        <v>108</v>
      </c>
      <c r="B148" s="345"/>
      <c r="C148" s="51"/>
      <c r="D148" s="204"/>
    </row>
    <row r="149" spans="1:12" ht="15.75" x14ac:dyDescent="0.25">
      <c r="A149" s="346" t="s">
        <v>109</v>
      </c>
      <c r="B149" s="347"/>
      <c r="C149" s="48"/>
      <c r="D149" s="205">
        <f>(D139-D147)</f>
        <v>20850900</v>
      </c>
    </row>
    <row r="151" spans="1:12" x14ac:dyDescent="0.25">
      <c r="A151" s="228" t="s">
        <v>0</v>
      </c>
      <c r="B151" s="228" t="s">
        <v>248</v>
      </c>
      <c r="C151" s="228" t="s">
        <v>77</v>
      </c>
      <c r="D151" s="7"/>
    </row>
    <row r="152" spans="1:12" x14ac:dyDescent="0.25">
      <c r="A152" s="228">
        <v>1</v>
      </c>
      <c r="B152" s="225" t="s">
        <v>245</v>
      </c>
      <c r="C152" s="226">
        <v>9800000</v>
      </c>
      <c r="D152" s="7"/>
    </row>
    <row r="153" spans="1:12" x14ac:dyDescent="0.25">
      <c r="A153" s="228">
        <v>2</v>
      </c>
      <c r="B153" s="225" t="s">
        <v>273</v>
      </c>
      <c r="C153" s="226">
        <v>300000</v>
      </c>
      <c r="D153" s="7"/>
    </row>
    <row r="154" spans="1:12" x14ac:dyDescent="0.25">
      <c r="A154" s="228">
        <v>4</v>
      </c>
      <c r="B154" s="225" t="s">
        <v>246</v>
      </c>
      <c r="C154" s="226">
        <v>1215000</v>
      </c>
      <c r="D154" s="7"/>
    </row>
    <row r="155" spans="1:12" x14ac:dyDescent="0.25">
      <c r="A155" s="228">
        <v>5</v>
      </c>
      <c r="B155" s="227" t="s">
        <v>8</v>
      </c>
      <c r="C155" s="226">
        <f>SUM(C152:C154)</f>
        <v>11315000</v>
      </c>
      <c r="D155" s="7"/>
    </row>
    <row r="156" spans="1:12" x14ac:dyDescent="0.25">
      <c r="A156" s="7"/>
      <c r="B156" s="7"/>
      <c r="C156" s="7"/>
      <c r="D156" s="7"/>
    </row>
    <row r="157" spans="1:12" x14ac:dyDescent="0.25">
      <c r="A157" s="228" t="s">
        <v>0</v>
      </c>
      <c r="B157" s="228" t="s">
        <v>248</v>
      </c>
      <c r="C157" s="228" t="s">
        <v>77</v>
      </c>
      <c r="D157" s="7"/>
    </row>
    <row r="158" spans="1:12" x14ac:dyDescent="0.25">
      <c r="A158" s="228">
        <v>1</v>
      </c>
      <c r="B158" s="225" t="s">
        <v>328</v>
      </c>
      <c r="C158" s="226">
        <v>166615000</v>
      </c>
    </row>
    <row r="159" spans="1:12" x14ac:dyDescent="0.25">
      <c r="A159" s="228">
        <v>2</v>
      </c>
      <c r="B159" s="225" t="s">
        <v>326</v>
      </c>
      <c r="C159" s="226">
        <v>166700000</v>
      </c>
    </row>
    <row r="160" spans="1:12" x14ac:dyDescent="0.25">
      <c r="A160" s="228">
        <v>4</v>
      </c>
      <c r="B160" s="225" t="s">
        <v>329</v>
      </c>
      <c r="C160" s="226">
        <v>26663271</v>
      </c>
    </row>
    <row r="161" spans="1:3" x14ac:dyDescent="0.25">
      <c r="A161" s="228">
        <v>5</v>
      </c>
      <c r="B161" s="227" t="s">
        <v>327</v>
      </c>
      <c r="C161" s="226">
        <v>152862652</v>
      </c>
    </row>
  </sheetData>
  <mergeCells count="29">
    <mergeCell ref="G97:I97"/>
    <mergeCell ref="A1:N1"/>
    <mergeCell ref="A2:N2"/>
    <mergeCell ref="A92:E92"/>
    <mergeCell ref="E94:J94"/>
    <mergeCell ref="G95:H95"/>
    <mergeCell ref="A138:B138"/>
    <mergeCell ref="A99:A100"/>
    <mergeCell ref="B99:C99"/>
    <mergeCell ref="G99:I99"/>
    <mergeCell ref="G100:I100"/>
    <mergeCell ref="A131:D131"/>
    <mergeCell ref="A132:D132"/>
    <mergeCell ref="A133:D133"/>
    <mergeCell ref="A134:B134"/>
    <mergeCell ref="C134:D134"/>
    <mergeCell ref="A136:B136"/>
    <mergeCell ref="A137:B137"/>
    <mergeCell ref="A149:B149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</mergeCells>
  <pageMargins left="0.7" right="0.7" top="0.75" bottom="0.75" header="0.3" footer="0.3"/>
  <pageSetup paperSize="9" scale="52" fitToHeight="0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148" workbookViewId="0">
      <selection activeCell="L92" sqref="L92"/>
    </sheetView>
  </sheetViews>
  <sheetFormatPr defaultRowHeight="15" x14ac:dyDescent="0.25"/>
  <cols>
    <col min="1" max="1" width="6.140625" customWidth="1"/>
    <col min="2" max="2" width="23.42578125" customWidth="1"/>
    <col min="3" max="3" width="25.85546875" customWidth="1"/>
    <col min="4" max="4" width="20.28515625" customWidth="1"/>
    <col min="5" max="5" width="15.42578125" customWidth="1"/>
    <col min="6" max="6" width="9.140625" customWidth="1"/>
    <col min="7" max="7" width="11.85546875" customWidth="1"/>
    <col min="8" max="8" width="1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330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s="250" customFormat="1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271">
        <v>234</v>
      </c>
      <c r="G5" s="142">
        <v>125</v>
      </c>
      <c r="H5" s="141">
        <f>(Table2423256789101112131415162019[[#This Row],[STOK]]-Table2423256789101112131415162019[[#This Row],[TERJUAL]])</f>
        <v>109</v>
      </c>
      <c r="I5" s="143">
        <f>(Table2423256789101112131415162019[HARGA JUAL]*Table2423256789101112131415162019[TERJUAL])-(Table2423256789101112131415162019[HARGA POKOK]*Table2423256789101112131415162019[TERJUAL])</f>
        <v>2750000</v>
      </c>
      <c r="J5" s="143">
        <f>(Table2423256789101112131415162019[HARGA JUAL]*Table2423256789101112131415162019[TERJUAL])</f>
        <v>12125000</v>
      </c>
      <c r="K5" s="143">
        <f>Table2423256789101112131415162019[HARGA JUAL]*Table2423256789101112131415162019[SISA]</f>
        <v>10573000</v>
      </c>
      <c r="L5" s="144">
        <f>Table2423256789101112131415162019[HARGA POKOK]*Table2423256789101112131415162019[STOK]</f>
        <v>17550000</v>
      </c>
      <c r="M5" s="144">
        <f>Table2423256789101112131415162019[HARGA JUAL]*Table2423256789101112131415162019[STOK]</f>
        <v>22698000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270">
        <v>117</v>
      </c>
      <c r="G6" s="142">
        <v>15</v>
      </c>
      <c r="H6" s="141">
        <f>(Table2423256789101112131415162019[[#This Row],[STOK]]-Table2423256789101112131415162019[[#This Row],[TERJUAL]])</f>
        <v>102</v>
      </c>
      <c r="I6" s="143">
        <f>(Table2423256789101112131415162019[HARGA JUAL]*Table2423256789101112131415162019[TERJUAL])-(Table2423256789101112131415162019[HARGA POKOK]*Table2423256789101112131415162019[TERJUAL])</f>
        <v>300000</v>
      </c>
      <c r="J6" s="143">
        <f>(Table2423256789101112131415162019[HARGA JUAL]*Table2423256789101112131415162019[TERJUAL])</f>
        <v>1200000</v>
      </c>
      <c r="K6" s="143">
        <f>Table2423256789101112131415162019[HARGA JUAL]*Table2423256789101112131415162019[SISA]</f>
        <v>8160000</v>
      </c>
      <c r="L6" s="144">
        <f>Table2423256789101112131415162019[HARGA POKOK]*Table2423256789101112131415162019[STOK]</f>
        <v>7020000</v>
      </c>
      <c r="M6" s="144">
        <f>Table2423256789101112131415162019[HARGA JUAL]*Table2423256789101112131415162019[STOK]</f>
        <v>9360000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55000</v>
      </c>
      <c r="E7" s="140">
        <v>70000</v>
      </c>
      <c r="F7" s="141">
        <v>34</v>
      </c>
      <c r="G7" s="142">
        <v>14</v>
      </c>
      <c r="H7" s="141">
        <f>(Table2423256789101112131415162019[[#This Row],[STOK]]-Table2423256789101112131415162019[[#This Row],[TERJUAL]])</f>
        <v>20</v>
      </c>
      <c r="I7" s="143">
        <f>(Table2423256789101112131415162019[HARGA JUAL]*Table2423256789101112131415162019[TERJUAL])-(Table2423256789101112131415162019[HARGA POKOK]*Table2423256789101112131415162019[TERJUAL])</f>
        <v>210000</v>
      </c>
      <c r="J7" s="143">
        <f>(Table2423256789101112131415162019[HARGA JUAL]*Table2423256789101112131415162019[TERJUAL])</f>
        <v>980000</v>
      </c>
      <c r="K7" s="143">
        <f>Table2423256789101112131415162019[HARGA JUAL]*Table2423256789101112131415162019[SISA]</f>
        <v>1400000</v>
      </c>
      <c r="L7" s="144">
        <f>Table2423256789101112131415162019[HARGA POKOK]*Table2423256789101112131415162019[STOK]</f>
        <v>1870000</v>
      </c>
      <c r="M7" s="144">
        <f>Table2423256789101112131415162019[HARGA JUAL]*Table2423256789101112131415162019[STOK]</f>
        <v>2380000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137</v>
      </c>
      <c r="G8" s="142">
        <v>25</v>
      </c>
      <c r="H8" s="141">
        <f>(Table2423256789101112131415162019[[#This Row],[STOK]]-Table2423256789101112131415162019[[#This Row],[TERJUAL]])</f>
        <v>112</v>
      </c>
      <c r="I8" s="143">
        <f>(Table2423256789101112131415162019[HARGA JUAL]*Table2423256789101112131415162019[TERJUAL])-(Table2423256789101112131415162019[HARGA POKOK]*Table2423256789101112131415162019[TERJUAL])</f>
        <v>412500</v>
      </c>
      <c r="J8" s="143">
        <f>(Table2423256789101112131415162019[HARGA JUAL]*Table2423256789101112131415162019[TERJUAL])</f>
        <v>2050000</v>
      </c>
      <c r="K8" s="143">
        <f>Table2423256789101112131415162019[HARGA JUAL]*Table2423256789101112131415162019[SISA]</f>
        <v>9184000</v>
      </c>
      <c r="L8" s="144">
        <f>Table2423256789101112131415162019[HARGA POKOK]*Table2423256789101112131415162019[STOK]</f>
        <v>8973500</v>
      </c>
      <c r="M8" s="144">
        <f>Table2423256789101112131415162019[HARGA JUAL]*Table2423256789101112131415162019[STOK]</f>
        <v>11234000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93</v>
      </c>
      <c r="G9" s="142">
        <v>15</v>
      </c>
      <c r="H9" s="141">
        <f>(Table2423256789101112131415162019[[#This Row],[STOK]]-Table2423256789101112131415162019[[#This Row],[TERJUAL]])</f>
        <v>78</v>
      </c>
      <c r="I9" s="143">
        <f>(Table2423256789101112131415162019[HARGA JUAL]*Table2423256789101112131415162019[TERJUAL])-(Table2423256789101112131415162019[HARGA POKOK]*Table2423256789101112131415162019[TERJUAL])</f>
        <v>322500</v>
      </c>
      <c r="J9" s="143">
        <f>(Table2423256789101112131415162019[HARGA JUAL]*Table2423256789101112131415162019[TERJUAL])</f>
        <v>1200000</v>
      </c>
      <c r="K9" s="143">
        <f>Table2423256789101112131415162019[HARGA JUAL]*Table2423256789101112131415162019[SISA]</f>
        <v>6240000</v>
      </c>
      <c r="L9" s="144">
        <f>Table2423256789101112131415162019[HARGA POKOK]*Table2423256789101112131415162019[STOK]</f>
        <v>5440500</v>
      </c>
      <c r="M9" s="144">
        <f>Table2423256789101112131415162019[HARGA JUAL]*Table2423256789101112131415162019[STOK]</f>
        <v>7440000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15</v>
      </c>
      <c r="G10" s="142">
        <v>3</v>
      </c>
      <c r="H10" s="141">
        <f>(Table2423256789101112131415162019[[#This Row],[STOK]]-Table2423256789101112131415162019[[#This Row],[TERJUAL]])</f>
        <v>12</v>
      </c>
      <c r="I10" s="143">
        <f>(Table2423256789101112131415162019[HARGA JUAL]*Table2423256789101112131415162019[TERJUAL])-(Table2423256789101112131415162019[HARGA POKOK]*Table2423256789101112131415162019[TERJUAL])</f>
        <v>79500</v>
      </c>
      <c r="J10" s="143">
        <f>(Table2423256789101112131415162019[HARGA JUAL]*Table2423256789101112131415162019[TERJUAL])</f>
        <v>330000</v>
      </c>
      <c r="K10" s="143">
        <f>Table2423256789101112131415162019[HARGA JUAL]*Table2423256789101112131415162019[SISA]</f>
        <v>1320000</v>
      </c>
      <c r="L10" s="144">
        <f>Table2423256789101112131415162019[HARGA POKOK]*Table2423256789101112131415162019[STOK]</f>
        <v>1252500</v>
      </c>
      <c r="M10" s="144">
        <f>Table2423256789101112131415162019[HARGA JUAL]*Table2423256789101112131415162019[STOK]</f>
        <v>1650000</v>
      </c>
      <c r="N10" s="145"/>
    </row>
    <row r="11" spans="1:14" s="311" customFormat="1" x14ac:dyDescent="0.25">
      <c r="A11" s="283">
        <v>7</v>
      </c>
      <c r="B11" s="284" t="s">
        <v>28</v>
      </c>
      <c r="C11" s="284" t="s">
        <v>38</v>
      </c>
      <c r="D11" s="285">
        <v>88500</v>
      </c>
      <c r="E11" s="285">
        <v>50000</v>
      </c>
      <c r="F11" s="286">
        <v>8</v>
      </c>
      <c r="G11" s="287"/>
      <c r="H11" s="286">
        <f>(Table2423256789101112131415162019[[#This Row],[STOK]]-Table2423256789101112131415162019[[#This Row],[TERJUAL]])</f>
        <v>8</v>
      </c>
      <c r="I11" s="288">
        <f>(Table2423256789101112131415162019[HARGA JUAL]*Table2423256789101112131415162019[TERJUAL])-(Table2423256789101112131415162019[HARGA POKOK]*Table2423256789101112131415162019[TERJUAL])</f>
        <v>0</v>
      </c>
      <c r="J11" s="288">
        <f>(Table2423256789101112131415162019[HARGA JUAL]*Table2423256789101112131415162019[TERJUAL])</f>
        <v>0</v>
      </c>
      <c r="K11" s="288">
        <f>Table2423256789101112131415162019[HARGA JUAL]*Table2423256789101112131415162019[SISA]</f>
        <v>400000</v>
      </c>
      <c r="L11" s="289">
        <f>Table2423256789101112131415162019[HARGA POKOK]*Table2423256789101112131415162019[STOK]</f>
        <v>708000</v>
      </c>
      <c r="M11" s="289">
        <f>Table2423256789101112131415162019[HARGA JUAL]*Table2423256789101112131415162019[STOK]</f>
        <v>400000</v>
      </c>
      <c r="N11" s="290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50</v>
      </c>
      <c r="G12" s="142">
        <v>3</v>
      </c>
      <c r="H12" s="141">
        <f>(Table2423256789101112131415162019[[#This Row],[STOK]]-Table2423256789101112131415162019[[#This Row],[TERJUAL]])</f>
        <v>47</v>
      </c>
      <c r="I12" s="143">
        <f>(Table2423256789101112131415162019[HARGA JUAL]*Table2423256789101112131415162019[TERJUAL])-(Table2423256789101112131415162019[HARGA POKOK]*Table2423256789101112131415162019[TERJUAL])</f>
        <v>18000</v>
      </c>
      <c r="J12" s="143">
        <f>(Table2423256789101112131415162019[HARGA JUAL]*Table2423256789101112131415162019[TERJUAL])</f>
        <v>270000</v>
      </c>
      <c r="K12" s="143">
        <f>Table2423256789101112131415162019[HARGA JUAL]*Table2423256789101112131415162019[SISA]</f>
        <v>4230000</v>
      </c>
      <c r="L12" s="144">
        <f>Table2423256789101112131415162019[HARGA POKOK]*Table2423256789101112131415162019[STOK]</f>
        <v>4200000</v>
      </c>
      <c r="M12" s="144">
        <f>Table2423256789101112131415162019[HARGA JUAL]*Table2423256789101112131415162019[STOK]</f>
        <v>4500000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6</v>
      </c>
      <c r="G13" s="142">
        <v>3</v>
      </c>
      <c r="H13" s="141">
        <f>(Table2423256789101112131415162019[[#This Row],[STOK]]-Table2423256789101112131415162019[[#This Row],[TERJUAL]])</f>
        <v>3</v>
      </c>
      <c r="I13" s="143">
        <f>(Table2423256789101112131415162019[HARGA JUAL]*Table2423256789101112131415162019[TERJUAL])-(Table2423256789101112131415162019[HARGA POKOK]*Table2423256789101112131415162019[TERJUAL])</f>
        <v>64500</v>
      </c>
      <c r="J13" s="143">
        <f>(Table2423256789101112131415162019[HARGA JUAL]*Table2423256789101112131415162019[TERJUAL])</f>
        <v>540000</v>
      </c>
      <c r="K13" s="143">
        <f>Table2423256789101112131415162019[HARGA JUAL]*Table2423256789101112131415162019[SISA]</f>
        <v>540000</v>
      </c>
      <c r="L13" s="144">
        <f>Table2423256789101112131415162019[HARGA POKOK]*Table2423256789101112131415162019[STOK]</f>
        <v>951000</v>
      </c>
      <c r="M13" s="144">
        <f>Table2423256789101112131415162019[HARGA JUAL]*Table2423256789101112131415162019[STOK]</f>
        <v>1080000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120000</v>
      </c>
      <c r="F14" s="141">
        <v>27</v>
      </c>
      <c r="G14" s="142">
        <v>6</v>
      </c>
      <c r="H14" s="141">
        <f>(Table2423256789101112131415162019[[#This Row],[STOK]]-Table2423256789101112131415162019[[#This Row],[TERJUAL]])</f>
        <v>21</v>
      </c>
      <c r="I14" s="143">
        <f>(Table2423256789101112131415162019[HARGA JUAL]*Table2423256789101112131415162019[TERJUAL])-(Table2423256789101112131415162019[HARGA POKOK]*Table2423256789101112131415162019[TERJUAL])</f>
        <v>-78000</v>
      </c>
      <c r="J14" s="143">
        <f>(Table2423256789101112131415162019[HARGA JUAL]*Table2423256789101112131415162019[TERJUAL])</f>
        <v>720000</v>
      </c>
      <c r="K14" s="143">
        <f>Table2423256789101112131415162019[HARGA JUAL]*Table2423256789101112131415162019[SISA]</f>
        <v>2520000</v>
      </c>
      <c r="L14" s="144">
        <f>Table2423256789101112131415162019[HARGA POKOK]*Table2423256789101112131415162019[STOK]</f>
        <v>3591000</v>
      </c>
      <c r="M14" s="144">
        <f>Table2423256789101112131415162019[HARGA JUAL]*Table2423256789101112131415162019[STOK]</f>
        <v>3240000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79</v>
      </c>
      <c r="G15" s="142">
        <v>9</v>
      </c>
      <c r="H15" s="141">
        <f>(Table2423256789101112131415162019[[#This Row],[STOK]]-Table2423256789101112131415162019[[#This Row],[TERJUAL]])</f>
        <v>70</v>
      </c>
      <c r="I15" s="143">
        <f>(Table2423256789101112131415162019[HARGA JUAL]*Table2423256789101112131415162019[TERJUAL])-(Table2423256789101112131415162019[HARGA POKOK]*Table2423256789101112131415162019[TERJUAL])</f>
        <v>94500</v>
      </c>
      <c r="J15" s="143">
        <f>(Table2423256789101112131415162019[HARGA JUAL]*Table2423256789101112131415162019[TERJUAL])</f>
        <v>360000</v>
      </c>
      <c r="K15" s="143">
        <f>Table2423256789101112131415162019[HARGA JUAL]*Table2423256789101112131415162019[SISA]</f>
        <v>2800000</v>
      </c>
      <c r="L15" s="144">
        <f>Table2423256789101112131415162019[HARGA POKOK]*Table2423256789101112131415162019[STOK]</f>
        <v>2330500</v>
      </c>
      <c r="M15" s="144">
        <f>Table2423256789101112131415162019[HARGA JUAL]*Table2423256789101112131415162019[STOK]</f>
        <v>3160000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46</v>
      </c>
      <c r="G16" s="142">
        <v>5</v>
      </c>
      <c r="H16" s="141">
        <f>(Table2423256789101112131415162019[[#This Row],[STOK]]-Table2423256789101112131415162019[[#This Row],[TERJUAL]])</f>
        <v>41</v>
      </c>
      <c r="I16" s="143">
        <f>(Table2423256789101112131415162019[HARGA JUAL]*Table2423256789101112131415162019[TERJUAL])-(Table2423256789101112131415162019[HARGA POKOK]*Table2423256789101112131415162019[TERJUAL])</f>
        <v>137500</v>
      </c>
      <c r="J16" s="143">
        <f>(Table2423256789101112131415162019[HARGA JUAL]*Table2423256789101112131415162019[TERJUAL])</f>
        <v>500000</v>
      </c>
      <c r="K16" s="143">
        <f>Table2423256789101112131415162019[HARGA JUAL]*Table2423256789101112131415162019[SISA]</f>
        <v>4100000</v>
      </c>
      <c r="L16" s="144">
        <f>Table2423256789101112131415162019[HARGA POKOK]*Table2423256789101112131415162019[STOK]</f>
        <v>3335000</v>
      </c>
      <c r="M16" s="144">
        <f>Table2423256789101112131415162019[HARGA JUAL]*Table2423256789101112131415162019[STOK]</f>
        <v>4600000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50</v>
      </c>
      <c r="G17" s="142">
        <v>2</v>
      </c>
      <c r="H17" s="141">
        <f>(Table2423256789101112131415162019[[#This Row],[STOK]]-Table2423256789101112131415162019[[#This Row],[TERJUAL]])</f>
        <v>48</v>
      </c>
      <c r="I17" s="143">
        <f>(Table2423256789101112131415162019[HARGA JUAL]*Table2423256789101112131415162019[TERJUAL])-(Table2423256789101112131415162019[HARGA POKOK]*Table2423256789101112131415162019[TERJUAL])</f>
        <v>38000</v>
      </c>
      <c r="J17" s="143">
        <f>(Table2423256789101112131415162019[HARGA JUAL]*Table2423256789101112131415162019[TERJUAL])</f>
        <v>170000</v>
      </c>
      <c r="K17" s="143">
        <f>Table2423256789101112131415162019[HARGA JUAL]*Table2423256789101112131415162019[SISA]</f>
        <v>4080000</v>
      </c>
      <c r="L17" s="144">
        <f>Table2423256789101112131415162019[HARGA POKOK]*Table2423256789101112131415162019[STOK]</f>
        <v>3300000</v>
      </c>
      <c r="M17" s="144">
        <f>Table2423256789101112131415162019[HARGA JUAL]*Table2423256789101112131415162019[STOK]</f>
        <v>4250000</v>
      </c>
      <c r="N17" s="145" t="s">
        <v>292</v>
      </c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544</v>
      </c>
      <c r="G18" s="142">
        <v>7</v>
      </c>
      <c r="H18" s="141">
        <f>(Table2423256789101112131415162019[[#This Row],[STOK]]-Table2423256789101112131415162019[[#This Row],[TERJUAL]])</f>
        <v>537</v>
      </c>
      <c r="I18" s="143">
        <f>(Table2423256789101112131415162019[HARGA JUAL]*Table2423256789101112131415162019[TERJUAL])-(Table2423256789101112131415162019[HARGA POKOK]*Table2423256789101112131415162019[TERJUAL])</f>
        <v>17500</v>
      </c>
      <c r="J18" s="143">
        <f>(Table2423256789101112131415162019[HARGA JUAL]*Table2423256789101112131415162019[TERJUAL])</f>
        <v>175000</v>
      </c>
      <c r="K18" s="143">
        <f>Table2423256789101112131415162019[HARGA JUAL]*Table2423256789101112131415162019[SISA]</f>
        <v>13425000</v>
      </c>
      <c r="L18" s="144">
        <f>Table2423256789101112131415162019[HARGA POKOK]*Table2423256789101112131415162019[STOK]</f>
        <v>12240000</v>
      </c>
      <c r="M18" s="144">
        <f>Table2423256789101112131415162019[HARGA JUAL]*Table2423256789101112131415162019[STOK]</f>
        <v>13600000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16</v>
      </c>
      <c r="G19" s="142">
        <v>3</v>
      </c>
      <c r="H19" s="141">
        <f>(Table2423256789101112131415162019[[#This Row],[STOK]]-Table2423256789101112131415162019[[#This Row],[TERJUAL]])</f>
        <v>13</v>
      </c>
      <c r="I19" s="143">
        <f>(Table2423256789101112131415162019[HARGA JUAL]*Table2423256789101112131415162019[TERJUAL])-(Table2423256789101112131415162019[HARGA POKOK]*Table2423256789101112131415162019[TERJUAL])</f>
        <v>72000</v>
      </c>
      <c r="J19" s="143">
        <f>(Table2423256789101112131415162019[HARGA JUAL]*Table2423256789101112131415162019[TERJUAL])</f>
        <v>240000</v>
      </c>
      <c r="K19" s="143">
        <f>Table2423256789101112131415162019[HARGA JUAL]*Table2423256789101112131415162019[SISA]</f>
        <v>1040000</v>
      </c>
      <c r="L19" s="144">
        <f>Table2423256789101112131415162019[HARGA POKOK]*Table2423256789101112131415162019[STOK]</f>
        <v>896000</v>
      </c>
      <c r="M19" s="144">
        <f>Table2423256789101112131415162019[HARGA JUAL]*Table2423256789101112131415162019[STOK]</f>
        <v>1280000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/>
      <c r="G20" s="142"/>
      <c r="H20" s="141">
        <f>(Table2423256789101112131415162019[[#This Row],[STOK]]-Table2423256789101112131415162019[[#This Row],[TERJUAL]])</f>
        <v>0</v>
      </c>
      <c r="I20" s="143">
        <f>(Table2423256789101112131415162019[HARGA JUAL]*Table2423256789101112131415162019[TERJUAL])-(Table2423256789101112131415162019[HARGA POKOK]*Table2423256789101112131415162019[TERJUAL])</f>
        <v>0</v>
      </c>
      <c r="J20" s="143">
        <f>(Table2423256789101112131415162019[HARGA JUAL]*Table2423256789101112131415162019[TERJUAL])</f>
        <v>0</v>
      </c>
      <c r="K20" s="143">
        <f>Table2423256789101112131415162019[HARGA JUAL]*Table2423256789101112131415162019[SISA]</f>
        <v>0</v>
      </c>
      <c r="L20" s="144">
        <f>Table2423256789101112131415162019[HARGA POKOK]*Table2423256789101112131415162019[STOK]</f>
        <v>0</v>
      </c>
      <c r="M20" s="144">
        <f>Table2423256789101112131415162019[HARGA JUAL]*Table2423256789101112131415162019[STOK]</f>
        <v>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74</v>
      </c>
      <c r="G21" s="142">
        <v>3</v>
      </c>
      <c r="H21" s="141">
        <f>(Table2423256789101112131415162019[[#This Row],[STOK]]-Table2423256789101112131415162019[[#This Row],[TERJUAL]])</f>
        <v>71</v>
      </c>
      <c r="I21" s="143">
        <f>(Table2423256789101112131415162019[HARGA JUAL]*Table2423256789101112131415162019[TERJUAL])-(Table2423256789101112131415162019[HARGA POKOK]*Table2423256789101112131415162019[TERJUAL])</f>
        <v>34500</v>
      </c>
      <c r="J21" s="143">
        <f>(Table2423256789101112131415162019[HARGA JUAL]*Table2423256789101112131415162019[TERJUAL])</f>
        <v>66000</v>
      </c>
      <c r="K21" s="143">
        <f>Table2423256789101112131415162019[HARGA JUAL]*Table2423256789101112131415162019[SISA]</f>
        <v>1562000</v>
      </c>
      <c r="L21" s="144">
        <f>Table2423256789101112131415162019[HARGA POKOK]*Table2423256789101112131415162019[STOK]</f>
        <v>777000</v>
      </c>
      <c r="M21" s="144">
        <f>Table2423256789101112131415162019[HARGA JUAL]*Table2423256789101112131415162019[STOK]</f>
        <v>1628000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48</v>
      </c>
      <c r="G22" s="142">
        <v>1</v>
      </c>
      <c r="H22" s="141">
        <f>(Table2423256789101112131415162019[[#This Row],[STOK]]-Table2423256789101112131415162019[[#This Row],[TERJUAL]])</f>
        <v>47</v>
      </c>
      <c r="I22" s="143">
        <f>(Table2423256789101112131415162019[HARGA JUAL]*Table2423256789101112131415162019[TERJUAL])-(Table2423256789101112131415162019[HARGA POKOK]*Table2423256789101112131415162019[TERJUAL])</f>
        <v>20000</v>
      </c>
      <c r="J22" s="143">
        <f>(Table2423256789101112131415162019[HARGA JUAL]*Table2423256789101112131415162019[TERJUAL])</f>
        <v>80000</v>
      </c>
      <c r="K22" s="143">
        <f>Table2423256789101112131415162019[HARGA JUAL]*Table2423256789101112131415162019[SISA]</f>
        <v>3760000</v>
      </c>
      <c r="L22" s="144">
        <f>Table2423256789101112131415162019[HARGA POKOK]*Table2423256789101112131415162019[STOK]</f>
        <v>2880000</v>
      </c>
      <c r="M22" s="144">
        <f>Table2423256789101112131415162019[HARGA JUAL]*Table2423256789101112131415162019[STOK]</f>
        <v>3840000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67</v>
      </c>
      <c r="G23" s="142">
        <v>3</v>
      </c>
      <c r="H23" s="141">
        <f>(Table2423256789101112131415162019[[#This Row],[STOK]]-Table2423256789101112131415162019[[#This Row],[TERJUAL]])</f>
        <v>64</v>
      </c>
      <c r="I23" s="143">
        <f>(Table2423256789101112131415162019[HARGA JUAL]*Table2423256789101112131415162019[TERJUAL])-(Table2423256789101112131415162019[HARGA POKOK]*Table2423256789101112131415162019[TERJUAL])</f>
        <v>31500</v>
      </c>
      <c r="J23" s="143">
        <f>(Table2423256789101112131415162019[HARGA JUAL]*Table2423256789101112131415162019[TERJUAL])</f>
        <v>75000</v>
      </c>
      <c r="K23" s="143">
        <f>Table2423256789101112131415162019[HARGA JUAL]*Table2423256789101112131415162019[SISA]</f>
        <v>1600000</v>
      </c>
      <c r="L23" s="144">
        <f>Table2423256789101112131415162019[HARGA POKOK]*Table2423256789101112131415162019[STOK]</f>
        <v>971500</v>
      </c>
      <c r="M23" s="144">
        <f>Table2423256789101112131415162019[HARGA JUAL]*Table2423256789101112131415162019[STOK]</f>
        <v>1675000</v>
      </c>
      <c r="N23" s="145"/>
    </row>
    <row r="24" spans="1:14" x14ac:dyDescent="0.25">
      <c r="A24" s="283">
        <v>20</v>
      </c>
      <c r="B24" s="284" t="s">
        <v>28</v>
      </c>
      <c r="C24" s="284" t="s">
        <v>52</v>
      </c>
      <c r="D24" s="285">
        <v>30000</v>
      </c>
      <c r="E24" s="285">
        <v>15000</v>
      </c>
      <c r="F24" s="286">
        <v>44</v>
      </c>
      <c r="G24" s="287">
        <v>2</v>
      </c>
      <c r="H24" s="286">
        <f>(Table2423256789101112131415162019[[#This Row],[STOK]]-Table2423256789101112131415162019[[#This Row],[TERJUAL]])</f>
        <v>42</v>
      </c>
      <c r="I24" s="288">
        <f>(Table2423256789101112131415162019[HARGA JUAL]*Table2423256789101112131415162019[TERJUAL])-(Table2423256789101112131415162019[HARGA POKOK]*Table2423256789101112131415162019[TERJUAL])</f>
        <v>-30000</v>
      </c>
      <c r="J24" s="288">
        <f>(Table2423256789101112131415162019[HARGA JUAL]*Table2423256789101112131415162019[TERJUAL])</f>
        <v>30000</v>
      </c>
      <c r="K24" s="288">
        <f>Table2423256789101112131415162019[HARGA JUAL]*Table2423256789101112131415162019[SISA]</f>
        <v>630000</v>
      </c>
      <c r="L24" s="289">
        <f>Table2423256789101112131415162019[HARGA POKOK]*Table2423256789101112131415162019[STOK]</f>
        <v>1320000</v>
      </c>
      <c r="M24" s="289">
        <f>Table2423256789101112131415162019[HARGA JUAL]*Table2423256789101112131415162019[STOK]</f>
        <v>660000</v>
      </c>
      <c r="N24" s="290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4500</v>
      </c>
      <c r="E25" s="140">
        <v>10000</v>
      </c>
      <c r="F25" s="141">
        <v>13</v>
      </c>
      <c r="G25" s="142">
        <v>5</v>
      </c>
      <c r="H25" s="141">
        <f>(Table2423256789101112131415162019[[#This Row],[STOK]]-Table2423256789101112131415162019[[#This Row],[TERJUAL]])</f>
        <v>8</v>
      </c>
      <c r="I25" s="143">
        <f>(Table2423256789101112131415162019[HARGA JUAL]*Table2423256789101112131415162019[TERJUAL])-(Table2423256789101112131415162019[HARGA POKOK]*Table2423256789101112131415162019[TERJUAL])</f>
        <v>27500</v>
      </c>
      <c r="J25" s="143">
        <f>(Table2423256789101112131415162019[HARGA JUAL]*Table2423256789101112131415162019[TERJUAL])</f>
        <v>50000</v>
      </c>
      <c r="K25" s="143">
        <f>Table2423256789101112131415162019[HARGA JUAL]*Table2423256789101112131415162019[SISA]</f>
        <v>80000</v>
      </c>
      <c r="L25" s="144">
        <f>Table2423256789101112131415162019[HARGA POKOK]*Table2423256789101112131415162019[STOK]</f>
        <v>58500</v>
      </c>
      <c r="M25" s="144">
        <f>Table2423256789101112131415162019[HARGA JUAL]*Table2423256789101112131415162019[STOK]</f>
        <v>130000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81</v>
      </c>
      <c r="G26" s="142">
        <v>3</v>
      </c>
      <c r="H26" s="141">
        <f>(Table2423256789101112131415162019[[#This Row],[STOK]]-Table2423256789101112131415162019[[#This Row],[TERJUAL]])</f>
        <v>78</v>
      </c>
      <c r="I26" s="143">
        <f>(Table2423256789101112131415162019[HARGA JUAL]*Table2423256789101112131415162019[TERJUAL])-(Table2423256789101112131415162019[HARGA POKOK]*Table2423256789101112131415162019[TERJUAL])</f>
        <v>37500</v>
      </c>
      <c r="J26" s="143">
        <f>(Table2423256789101112131415162019[HARGA JUAL]*Table2423256789101112131415162019[TERJUAL])</f>
        <v>180000</v>
      </c>
      <c r="K26" s="143">
        <f>Table2423256789101112131415162019[HARGA JUAL]*Table2423256789101112131415162019[SISA]</f>
        <v>4680000</v>
      </c>
      <c r="L26" s="144">
        <f>Table2423256789101112131415162019[HARGA POKOK]*Table2423256789101112131415162019[STOK]</f>
        <v>3847500</v>
      </c>
      <c r="M26" s="144">
        <f>Table2423256789101112131415162019[HARGA JUAL]*Table2423256789101112131415162019[STOK]</f>
        <v>4860000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1</v>
      </c>
      <c r="G27" s="142">
        <v>1</v>
      </c>
      <c r="H27" s="141">
        <f>(Table2423256789101112131415162019[[#This Row],[STOK]]-Table2423256789101112131415162019[[#This Row],[TERJUAL]])</f>
        <v>0</v>
      </c>
      <c r="I27" s="143">
        <f>(Table2423256789101112131415162019[HARGA JUAL]*Table2423256789101112131415162019[TERJUAL])-(Table2423256789101112131415162019[HARGA POKOK]*Table2423256789101112131415162019[TERJUAL])</f>
        <v>28500</v>
      </c>
      <c r="J27" s="143">
        <f>(Table2423256789101112131415162019[HARGA JUAL]*Table2423256789101112131415162019[TERJUAL])</f>
        <v>143000</v>
      </c>
      <c r="K27" s="143">
        <f>Table2423256789101112131415162019[HARGA JUAL]*Table2423256789101112131415162019[SISA]</f>
        <v>0</v>
      </c>
      <c r="L27" s="144">
        <f>Table2423256789101112131415162019[HARGA POKOK]*Table2423256789101112131415162019[STOK]</f>
        <v>114500</v>
      </c>
      <c r="M27" s="144">
        <f>Table2423256789101112131415162019[HARGA JUAL]*Table2423256789101112131415162019[STOK]</f>
        <v>143000</v>
      </c>
      <c r="N27" s="145"/>
    </row>
    <row r="28" spans="1:14" x14ac:dyDescent="0.25">
      <c r="A28" s="137">
        <v>24</v>
      </c>
      <c r="B28" s="138" t="s">
        <v>29</v>
      </c>
      <c r="C28" s="138" t="s">
        <v>293</v>
      </c>
      <c r="D28" s="140">
        <v>68500</v>
      </c>
      <c r="E28" s="140">
        <v>120000</v>
      </c>
      <c r="F28" s="141">
        <v>13</v>
      </c>
      <c r="G28" s="142"/>
      <c r="H28" s="141">
        <f>(Table2423256789101112131415162019[[#This Row],[STOK]]-Table2423256789101112131415162019[[#This Row],[TERJUAL]])</f>
        <v>13</v>
      </c>
      <c r="I28" s="143">
        <f>(Table2423256789101112131415162019[HARGA JUAL]*Table2423256789101112131415162019[TERJUAL])-(Table2423256789101112131415162019[HARGA POKOK]*Table2423256789101112131415162019[TERJUAL])</f>
        <v>0</v>
      </c>
      <c r="J28" s="143">
        <f>(Table2423256789101112131415162019[HARGA JUAL]*Table2423256789101112131415162019[TERJUAL])</f>
        <v>0</v>
      </c>
      <c r="K28" s="143">
        <f>Table2423256789101112131415162019[HARGA JUAL]*Table2423256789101112131415162019[SISA]</f>
        <v>1560000</v>
      </c>
      <c r="L28" s="144">
        <f>Table2423256789101112131415162019[HARGA POKOK]*Table2423256789101112131415162019[STOK]</f>
        <v>890500</v>
      </c>
      <c r="M28" s="144">
        <f>Table2423256789101112131415162019[HARGA JUAL]*Table2423256789101112131415162019[STOK]</f>
        <v>1560000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(Table2423256789101112131415162019[[#This Row],[STOK]]-Table2423256789101112131415162019[[#This Row],[TERJUAL]])</f>
        <v>0</v>
      </c>
      <c r="I29" s="143">
        <f>(Table2423256789101112131415162019[HARGA JUAL]*Table2423256789101112131415162019[TERJUAL])-(Table2423256789101112131415162019[HARGA POKOK]*Table2423256789101112131415162019[TERJUAL])</f>
        <v>0</v>
      </c>
      <c r="J29" s="143">
        <f>(Table2423256789101112131415162019[HARGA JUAL]*Table2423256789101112131415162019[TERJUAL])</f>
        <v>0</v>
      </c>
      <c r="K29" s="143">
        <f>Table2423256789101112131415162019[HARGA JUAL]*Table2423256789101112131415162019[SISA]</f>
        <v>0</v>
      </c>
      <c r="L29" s="144">
        <f>Table2423256789101112131415162019[HARGA POKOK]*Table2423256789101112131415162019[STOK]</f>
        <v>0</v>
      </c>
      <c r="M29" s="144">
        <f>Table2423256789101112131415162019[HARGA JUAL]*Table2423256789101112131415162019[STOK]</f>
        <v>0</v>
      </c>
      <c r="N29" s="145"/>
    </row>
    <row r="30" spans="1:14" x14ac:dyDescent="0.25">
      <c r="A30" s="137"/>
      <c r="B30" s="138" t="s">
        <v>30</v>
      </c>
      <c r="C30" s="138" t="s">
        <v>315</v>
      </c>
      <c r="D30" s="140">
        <v>35000</v>
      </c>
      <c r="E30" s="140">
        <v>55000</v>
      </c>
      <c r="F30" s="141">
        <v>39</v>
      </c>
      <c r="G30" s="142">
        <v>7</v>
      </c>
      <c r="H30" s="141">
        <f>(Table2423256789101112131415162019[[#This Row],[STOK]]-Table2423256789101112131415162019[[#This Row],[TERJUAL]])</f>
        <v>32</v>
      </c>
      <c r="I30" s="143">
        <f>(Table2423256789101112131415162019[HARGA JUAL]*Table2423256789101112131415162019[TERJUAL])-(Table2423256789101112131415162019[HARGA POKOK]*Table2423256789101112131415162019[TERJUAL])</f>
        <v>140000</v>
      </c>
      <c r="J30" s="143">
        <f>(Table2423256789101112131415162019[HARGA JUAL]*Table2423256789101112131415162019[TERJUAL])</f>
        <v>385000</v>
      </c>
      <c r="K30" s="143">
        <f>Table2423256789101112131415162019[HARGA JUAL]*Table2423256789101112131415162019[SISA]</f>
        <v>1760000</v>
      </c>
      <c r="L30" s="144">
        <f>Table2423256789101112131415162019[HARGA POKOK]*Table2423256789101112131415162019[STOK]</f>
        <v>1365000</v>
      </c>
      <c r="M30" s="144">
        <f>Table2423256789101112131415162019[HARGA JUAL]*Table2423256789101112131415162019[STOK]</f>
        <v>2145000</v>
      </c>
      <c r="N30" s="145"/>
    </row>
    <row r="31" spans="1:14" x14ac:dyDescent="0.25">
      <c r="A31" s="137"/>
      <c r="B31" s="138" t="s">
        <v>30</v>
      </c>
      <c r="C31" s="138" t="s">
        <v>294</v>
      </c>
      <c r="D31" s="140">
        <v>15000</v>
      </c>
      <c r="E31" s="140">
        <v>30000</v>
      </c>
      <c r="F31" s="141">
        <v>6</v>
      </c>
      <c r="G31" s="142">
        <v>4</v>
      </c>
      <c r="H31" s="141">
        <f>(Table2423256789101112131415162019[[#This Row],[STOK]]-Table2423256789101112131415162019[[#This Row],[TERJUAL]])</f>
        <v>2</v>
      </c>
      <c r="I31" s="143">
        <f>(Table2423256789101112131415162019[HARGA JUAL]*Table2423256789101112131415162019[TERJUAL])-(Table2423256789101112131415162019[HARGA POKOK]*Table2423256789101112131415162019[TERJUAL])</f>
        <v>60000</v>
      </c>
      <c r="J31" s="143">
        <f>(Table2423256789101112131415162019[HARGA JUAL]*Table2423256789101112131415162019[TERJUAL])</f>
        <v>120000</v>
      </c>
      <c r="K31" s="143">
        <f>Table2423256789101112131415162019[HARGA JUAL]*Table2423256789101112131415162019[SISA]</f>
        <v>60000</v>
      </c>
      <c r="L31" s="144">
        <f>Table2423256789101112131415162019[HARGA POKOK]*Table2423256789101112131415162019[STOK]</f>
        <v>90000</v>
      </c>
      <c r="M31" s="144">
        <f>Table2423256789101112131415162019[HARGA JUAL]*Table2423256789101112131415162019[STOK]</f>
        <v>180000</v>
      </c>
      <c r="N31" s="145"/>
    </row>
    <row r="32" spans="1:14" x14ac:dyDescent="0.25">
      <c r="A32" s="137">
        <v>26</v>
      </c>
      <c r="B32" s="138" t="s">
        <v>30</v>
      </c>
      <c r="C32" s="138" t="s">
        <v>58</v>
      </c>
      <c r="D32" s="140">
        <v>10000</v>
      </c>
      <c r="E32" s="140">
        <v>18000</v>
      </c>
      <c r="F32" s="141">
        <v>5</v>
      </c>
      <c r="G32" s="142">
        <v>3</v>
      </c>
      <c r="H32" s="141">
        <f>(Table2423256789101112131415162019[[#This Row],[STOK]]-Table2423256789101112131415162019[[#This Row],[TERJUAL]])</f>
        <v>2</v>
      </c>
      <c r="I32" s="143">
        <f>(Table2423256789101112131415162019[HARGA JUAL]*Table2423256789101112131415162019[TERJUAL])-(Table2423256789101112131415162019[HARGA POKOK]*Table2423256789101112131415162019[TERJUAL])</f>
        <v>24000</v>
      </c>
      <c r="J32" s="143">
        <f>(Table2423256789101112131415162019[HARGA JUAL]*Table2423256789101112131415162019[TERJUAL])</f>
        <v>54000</v>
      </c>
      <c r="K32" s="143">
        <f>Table2423256789101112131415162019[HARGA JUAL]*Table2423256789101112131415162019[SISA]</f>
        <v>36000</v>
      </c>
      <c r="L32" s="144">
        <f>Table2423256789101112131415162019[HARGA POKOK]*Table2423256789101112131415162019[STOK]</f>
        <v>50000</v>
      </c>
      <c r="M32" s="144">
        <f>Table2423256789101112131415162019[HARGA JUAL]*Table2423256789101112131415162019[STOK]</f>
        <v>90000</v>
      </c>
      <c r="N32" s="145"/>
    </row>
    <row r="33" spans="1:14" x14ac:dyDescent="0.25">
      <c r="A33" s="137">
        <v>27</v>
      </c>
      <c r="B33" s="138" t="s">
        <v>30</v>
      </c>
      <c r="C33" s="138" t="s">
        <v>59</v>
      </c>
      <c r="D33" s="140">
        <v>27500</v>
      </c>
      <c r="E33" s="140">
        <v>45000</v>
      </c>
      <c r="F33" s="141">
        <v>11</v>
      </c>
      <c r="G33" s="142">
        <v>1</v>
      </c>
      <c r="H33" s="141">
        <f>(Table2423256789101112131415162019[[#This Row],[STOK]]-Table2423256789101112131415162019[[#This Row],[TERJUAL]])</f>
        <v>10</v>
      </c>
      <c r="I33" s="143">
        <f>(Table2423256789101112131415162019[HARGA JUAL]*Table2423256789101112131415162019[TERJUAL])-(Table2423256789101112131415162019[HARGA POKOK]*Table2423256789101112131415162019[TERJUAL])</f>
        <v>17500</v>
      </c>
      <c r="J33" s="143">
        <f>(Table2423256789101112131415162019[HARGA JUAL]*Table2423256789101112131415162019[TERJUAL])</f>
        <v>45000</v>
      </c>
      <c r="K33" s="143">
        <f>Table2423256789101112131415162019[HARGA JUAL]*Table2423256789101112131415162019[SISA]</f>
        <v>450000</v>
      </c>
      <c r="L33" s="144">
        <f>Table2423256789101112131415162019[HARGA POKOK]*Table2423256789101112131415162019[STOK]</f>
        <v>302500</v>
      </c>
      <c r="M33" s="144">
        <f>Table2423256789101112131415162019[HARGA JUAL]*Table2423256789101112131415162019[STOK]</f>
        <v>495000</v>
      </c>
      <c r="N33" s="145"/>
    </row>
    <row r="34" spans="1:14" x14ac:dyDescent="0.25">
      <c r="A34" s="137">
        <v>28</v>
      </c>
      <c r="B34" s="138" t="s">
        <v>30</v>
      </c>
      <c r="C34" s="138" t="s">
        <v>60</v>
      </c>
      <c r="D34" s="140">
        <v>12500</v>
      </c>
      <c r="E34" s="140">
        <v>16000</v>
      </c>
      <c r="F34" s="141">
        <v>203</v>
      </c>
      <c r="G34" s="142">
        <v>91</v>
      </c>
      <c r="H34" s="141">
        <f>(Table2423256789101112131415162019[[#This Row],[STOK]]-Table2423256789101112131415162019[[#This Row],[TERJUAL]])</f>
        <v>112</v>
      </c>
      <c r="I34" s="143">
        <f>(Table2423256789101112131415162019[HARGA JUAL]*Table2423256789101112131415162019[TERJUAL])-(Table2423256789101112131415162019[HARGA POKOK]*Table2423256789101112131415162019[TERJUAL])</f>
        <v>318500</v>
      </c>
      <c r="J34" s="143">
        <f>(Table2423256789101112131415162019[HARGA JUAL]*Table2423256789101112131415162019[TERJUAL])</f>
        <v>1456000</v>
      </c>
      <c r="K34" s="143">
        <f>Table2423256789101112131415162019[HARGA JUAL]*Table2423256789101112131415162019[SISA]</f>
        <v>1792000</v>
      </c>
      <c r="L34" s="144">
        <f>Table2423256789101112131415162019[HARGA POKOK]*Table2423256789101112131415162019[STOK]</f>
        <v>2537500</v>
      </c>
      <c r="M34" s="144">
        <f>Table2423256789101112131415162019[HARGA JUAL]*Table2423256789101112131415162019[STOK]</f>
        <v>3248000</v>
      </c>
      <c r="N34" s="145"/>
    </row>
    <row r="35" spans="1:14" x14ac:dyDescent="0.25">
      <c r="A35" s="137">
        <v>29</v>
      </c>
      <c r="B35" s="138" t="s">
        <v>30</v>
      </c>
      <c r="C35" s="138" t="s">
        <v>13</v>
      </c>
      <c r="D35" s="140">
        <v>33500</v>
      </c>
      <c r="E35" s="140">
        <v>50000</v>
      </c>
      <c r="F35" s="141">
        <v>1</v>
      </c>
      <c r="G35" s="142"/>
      <c r="H35" s="141">
        <f>(Table2423256789101112131415162019[[#This Row],[STOK]]-Table2423256789101112131415162019[[#This Row],[TERJUAL]])</f>
        <v>1</v>
      </c>
      <c r="I35" s="143">
        <f>(Table2423256789101112131415162019[HARGA JUAL]*Table2423256789101112131415162019[TERJUAL])-(Table2423256789101112131415162019[HARGA POKOK]*Table2423256789101112131415162019[TERJUAL])</f>
        <v>0</v>
      </c>
      <c r="J35" s="143">
        <f>(Table2423256789101112131415162019[HARGA JUAL]*Table2423256789101112131415162019[TERJUAL])</f>
        <v>0</v>
      </c>
      <c r="K35" s="143">
        <f>Table2423256789101112131415162019[HARGA JUAL]*Table2423256789101112131415162019[SISA]</f>
        <v>50000</v>
      </c>
      <c r="L35" s="144">
        <f>Table2423256789101112131415162019[HARGA POKOK]*Table2423256789101112131415162019[STOK]</f>
        <v>33500</v>
      </c>
      <c r="M35" s="144">
        <f>Table2423256789101112131415162019[HARGA JUAL]*Table2423256789101112131415162019[STOK]</f>
        <v>50000</v>
      </c>
      <c r="N35" s="145"/>
    </row>
    <row r="36" spans="1:14" x14ac:dyDescent="0.25">
      <c r="A36" s="137">
        <v>30</v>
      </c>
      <c r="B36" s="138" t="s">
        <v>30</v>
      </c>
      <c r="C36" s="193" t="s">
        <v>14</v>
      </c>
      <c r="D36" s="140">
        <v>8500</v>
      </c>
      <c r="E36" s="140">
        <v>12000</v>
      </c>
      <c r="F36" s="141">
        <v>121</v>
      </c>
      <c r="G36" s="142">
        <v>11</v>
      </c>
      <c r="H36" s="141">
        <f>(Table2423256789101112131415162019[[#This Row],[STOK]]-Table2423256789101112131415162019[[#This Row],[TERJUAL]])</f>
        <v>110</v>
      </c>
      <c r="I36" s="143">
        <f>(Table2423256789101112131415162019[HARGA JUAL]*Table2423256789101112131415162019[TERJUAL])-(Table2423256789101112131415162019[HARGA POKOK]*Table2423256789101112131415162019[TERJUAL])</f>
        <v>38500</v>
      </c>
      <c r="J36" s="143">
        <f>(Table2423256789101112131415162019[HARGA JUAL]*Table2423256789101112131415162019[TERJUAL])</f>
        <v>132000</v>
      </c>
      <c r="K36" s="143">
        <f>Table2423256789101112131415162019[HARGA JUAL]*Table2423256789101112131415162019[SISA]</f>
        <v>1320000</v>
      </c>
      <c r="L36" s="144">
        <f>Table2423256789101112131415162019[HARGA POKOK]*Table2423256789101112131415162019[STOK]</f>
        <v>1028500</v>
      </c>
      <c r="M36" s="144">
        <f>Table2423256789101112131415162019[HARGA JUAL]*Table2423256789101112131415162019[STOK]</f>
        <v>1452000</v>
      </c>
      <c r="N36" s="145"/>
    </row>
    <row r="37" spans="1:14" x14ac:dyDescent="0.25">
      <c r="A37" s="137">
        <v>31</v>
      </c>
      <c r="B37" s="138" t="s">
        <v>30</v>
      </c>
      <c r="C37" s="138" t="s">
        <v>15</v>
      </c>
      <c r="D37" s="140">
        <v>30500</v>
      </c>
      <c r="E37" s="140">
        <v>45000</v>
      </c>
      <c r="F37" s="141"/>
      <c r="G37" s="142"/>
      <c r="H37" s="141">
        <f>(Table2423256789101112131415162019[[#This Row],[STOK]]-Table2423256789101112131415162019[[#This Row],[TERJUAL]])</f>
        <v>0</v>
      </c>
      <c r="I37" s="143">
        <f>(Table2423256789101112131415162019[HARGA JUAL]*Table2423256789101112131415162019[TERJUAL])-(Table2423256789101112131415162019[HARGA POKOK]*Table2423256789101112131415162019[TERJUAL])</f>
        <v>0</v>
      </c>
      <c r="J37" s="143">
        <f>(Table2423256789101112131415162019[HARGA JUAL]*Table2423256789101112131415162019[TERJUAL])</f>
        <v>0</v>
      </c>
      <c r="K37" s="143">
        <f>Table2423256789101112131415162019[HARGA JUAL]*Table2423256789101112131415162019[SISA]</f>
        <v>0</v>
      </c>
      <c r="L37" s="144">
        <f>Table2423256789101112131415162019[HARGA POKOK]*Table2423256789101112131415162019[STOK]</f>
        <v>0</v>
      </c>
      <c r="M37" s="144">
        <f>Table2423256789101112131415162019[HARGA JUAL]*Table2423256789101112131415162019[STOK]</f>
        <v>0</v>
      </c>
      <c r="N37" s="145"/>
    </row>
    <row r="38" spans="1:14" x14ac:dyDescent="0.25">
      <c r="A38" s="137">
        <v>32</v>
      </c>
      <c r="B38" s="138" t="s">
        <v>30</v>
      </c>
      <c r="C38" s="138" t="s">
        <v>16</v>
      </c>
      <c r="D38" s="140">
        <v>7500</v>
      </c>
      <c r="E38" s="140">
        <v>10000</v>
      </c>
      <c r="F38" s="141">
        <v>108</v>
      </c>
      <c r="G38" s="142">
        <v>17</v>
      </c>
      <c r="H38" s="141">
        <f>(Table2423256789101112131415162019[[#This Row],[STOK]]-Table2423256789101112131415162019[[#This Row],[TERJUAL]])</f>
        <v>91</v>
      </c>
      <c r="I38" s="143">
        <f>(Table2423256789101112131415162019[HARGA JUAL]*Table2423256789101112131415162019[TERJUAL])-(Table2423256789101112131415162019[HARGA POKOK]*Table2423256789101112131415162019[TERJUAL])</f>
        <v>42500</v>
      </c>
      <c r="J38" s="143">
        <f>(Table2423256789101112131415162019[HARGA JUAL]*Table2423256789101112131415162019[TERJUAL])</f>
        <v>170000</v>
      </c>
      <c r="K38" s="143">
        <f>Table2423256789101112131415162019[HARGA JUAL]*Table2423256789101112131415162019[SISA]</f>
        <v>910000</v>
      </c>
      <c r="L38" s="144">
        <f>Table2423256789101112131415162019[HARGA POKOK]*Table2423256789101112131415162019[STOK]</f>
        <v>810000</v>
      </c>
      <c r="M38" s="144">
        <f>Table2423256789101112131415162019[HARGA JUAL]*Table2423256789101112131415162019[STOK]</f>
        <v>1080000</v>
      </c>
      <c r="N38" s="145"/>
    </row>
    <row r="39" spans="1:14" x14ac:dyDescent="0.25">
      <c r="A39" s="137">
        <v>33</v>
      </c>
      <c r="B39" s="138" t="s">
        <v>35</v>
      </c>
      <c r="C39" s="138" t="s">
        <v>36</v>
      </c>
      <c r="D39" s="140">
        <v>51500</v>
      </c>
      <c r="E39" s="140">
        <v>65000</v>
      </c>
      <c r="F39" s="141">
        <v>18</v>
      </c>
      <c r="G39" s="142">
        <v>3</v>
      </c>
      <c r="H39" s="141">
        <f>(Table2423256789101112131415162019[[#This Row],[STOK]]-Table2423256789101112131415162019[[#This Row],[TERJUAL]])</f>
        <v>15</v>
      </c>
      <c r="I39" s="143">
        <f>(Table2423256789101112131415162019[HARGA JUAL]*Table2423256789101112131415162019[TERJUAL])-(Table2423256789101112131415162019[HARGA POKOK]*Table2423256789101112131415162019[TERJUAL])</f>
        <v>40500</v>
      </c>
      <c r="J39" s="143">
        <f>(Table2423256789101112131415162019[HARGA JUAL]*Table2423256789101112131415162019[TERJUAL])</f>
        <v>195000</v>
      </c>
      <c r="K39" s="143">
        <f>Table2423256789101112131415162019[HARGA JUAL]*Table2423256789101112131415162019[SISA]</f>
        <v>975000</v>
      </c>
      <c r="L39" s="144">
        <f>Table2423256789101112131415162019[HARGA POKOK]*Table2423256789101112131415162019[STOK]</f>
        <v>927000</v>
      </c>
      <c r="M39" s="144">
        <f>Table2423256789101112131415162019[HARGA JUAL]*Table2423256789101112131415162019[STOK]</f>
        <v>1170000</v>
      </c>
      <c r="N39" s="145"/>
    </row>
    <row r="40" spans="1:14" x14ac:dyDescent="0.25">
      <c r="A40" s="137">
        <v>34</v>
      </c>
      <c r="B40" s="138" t="s">
        <v>35</v>
      </c>
      <c r="C40" s="138" t="s">
        <v>175</v>
      </c>
      <c r="D40" s="140">
        <v>27500</v>
      </c>
      <c r="E40" s="140">
        <v>40000</v>
      </c>
      <c r="F40" s="141">
        <v>66</v>
      </c>
      <c r="G40" s="142">
        <v>2</v>
      </c>
      <c r="H40" s="141">
        <f>(Table2423256789101112131415162019[[#This Row],[STOK]]-Table2423256789101112131415162019[[#This Row],[TERJUAL]])</f>
        <v>64</v>
      </c>
      <c r="I40" s="143">
        <f>(Table2423256789101112131415162019[HARGA JUAL]*Table2423256789101112131415162019[TERJUAL])-(Table2423256789101112131415162019[HARGA POKOK]*Table2423256789101112131415162019[TERJUAL])</f>
        <v>25000</v>
      </c>
      <c r="J40" s="143">
        <f>(Table2423256789101112131415162019[HARGA JUAL]*Table2423256789101112131415162019[TERJUAL])</f>
        <v>80000</v>
      </c>
      <c r="K40" s="143">
        <f>Table2423256789101112131415162019[HARGA JUAL]*Table2423256789101112131415162019[SISA]</f>
        <v>2560000</v>
      </c>
      <c r="L40" s="144">
        <f>Table2423256789101112131415162019[HARGA POKOK]*Table2423256789101112131415162019[STOK]</f>
        <v>1815000</v>
      </c>
      <c r="M40" s="144">
        <f>Table2423256789101112131415162019[HARGA JUAL]*Table2423256789101112131415162019[STOK]</f>
        <v>2640000</v>
      </c>
      <c r="N40" s="145"/>
    </row>
    <row r="41" spans="1:14" x14ac:dyDescent="0.25">
      <c r="A41" s="137">
        <v>35</v>
      </c>
      <c r="B41" s="138" t="s">
        <v>31</v>
      </c>
      <c r="C41" s="138" t="s">
        <v>180</v>
      </c>
      <c r="D41" s="140">
        <v>21500</v>
      </c>
      <c r="E41" s="140">
        <v>40000</v>
      </c>
      <c r="F41" s="141">
        <v>74</v>
      </c>
      <c r="G41" s="142">
        <v>4</v>
      </c>
      <c r="H41" s="141">
        <f>(Table2423256789101112131415162019[[#This Row],[STOK]]-Table2423256789101112131415162019[[#This Row],[TERJUAL]])</f>
        <v>70</v>
      </c>
      <c r="I41" s="143">
        <f>(Table2423256789101112131415162019[HARGA JUAL]*Table2423256789101112131415162019[TERJUAL])-(Table2423256789101112131415162019[HARGA POKOK]*Table2423256789101112131415162019[TERJUAL])</f>
        <v>74000</v>
      </c>
      <c r="J41" s="143">
        <f>(Table2423256789101112131415162019[HARGA JUAL]*Table2423256789101112131415162019[TERJUAL])</f>
        <v>160000</v>
      </c>
      <c r="K41" s="143">
        <f>Table2423256789101112131415162019[HARGA JUAL]*Table2423256789101112131415162019[SISA]</f>
        <v>2800000</v>
      </c>
      <c r="L41" s="144">
        <f>Table2423256789101112131415162019[HARGA POKOK]*Table2423256789101112131415162019[STOK]</f>
        <v>1591000</v>
      </c>
      <c r="M41" s="144">
        <f>Table2423256789101112131415162019[HARGA JUAL]*Table2423256789101112131415162019[STOK]</f>
        <v>2960000</v>
      </c>
      <c r="N41" s="145"/>
    </row>
    <row r="42" spans="1:14" x14ac:dyDescent="0.25">
      <c r="A42" s="137">
        <v>36</v>
      </c>
      <c r="B42" s="138" t="s">
        <v>31</v>
      </c>
      <c r="C42" s="138" t="s">
        <v>62</v>
      </c>
      <c r="D42" s="140">
        <v>25000</v>
      </c>
      <c r="E42" s="140">
        <v>15000</v>
      </c>
      <c r="F42" s="141"/>
      <c r="G42" s="142"/>
      <c r="H42" s="141">
        <f>(Table2423256789101112131415162019[[#This Row],[STOK]]-Table2423256789101112131415162019[[#This Row],[TERJUAL]])</f>
        <v>0</v>
      </c>
      <c r="I42" s="143">
        <f>(Table2423256789101112131415162019[HARGA JUAL]*Table2423256789101112131415162019[TERJUAL])-(Table2423256789101112131415162019[HARGA POKOK]*Table2423256789101112131415162019[TERJUAL])</f>
        <v>0</v>
      </c>
      <c r="J42" s="143">
        <f>(Table2423256789101112131415162019[HARGA JUAL]*Table2423256789101112131415162019[TERJUAL])</f>
        <v>0</v>
      </c>
      <c r="K42" s="143">
        <f>Table2423256789101112131415162019[HARGA JUAL]*Table2423256789101112131415162019[SISA]</f>
        <v>0</v>
      </c>
      <c r="L42" s="144">
        <f>Table2423256789101112131415162019[HARGA POKOK]*Table2423256789101112131415162019[STOK]</f>
        <v>0</v>
      </c>
      <c r="M42" s="144">
        <f>Table2423256789101112131415162019[HARGA JUAL]*Table2423256789101112131415162019[STOK]</f>
        <v>0</v>
      </c>
      <c r="N42" s="145"/>
    </row>
    <row r="43" spans="1:14" x14ac:dyDescent="0.25">
      <c r="A43" s="137">
        <v>37</v>
      </c>
      <c r="B43" s="138" t="s">
        <v>31</v>
      </c>
      <c r="C43" s="138" t="s">
        <v>181</v>
      </c>
      <c r="D43" s="140">
        <v>34500</v>
      </c>
      <c r="E43" s="140">
        <v>40000</v>
      </c>
      <c r="F43" s="141">
        <v>111</v>
      </c>
      <c r="G43" s="142"/>
      <c r="H43" s="141">
        <f>(Table2423256789101112131415162019[[#This Row],[STOK]]-Table2423256789101112131415162019[[#This Row],[TERJUAL]])</f>
        <v>111</v>
      </c>
      <c r="I43" s="143">
        <f>(Table2423256789101112131415162019[HARGA JUAL]*Table2423256789101112131415162019[TERJUAL])-(Table2423256789101112131415162019[HARGA POKOK]*Table2423256789101112131415162019[TERJUAL])</f>
        <v>0</v>
      </c>
      <c r="J43" s="143">
        <f>(Table2423256789101112131415162019[HARGA JUAL]*Table2423256789101112131415162019[TERJUAL])</f>
        <v>0</v>
      </c>
      <c r="K43" s="143">
        <f>Table2423256789101112131415162019[HARGA JUAL]*Table2423256789101112131415162019[SISA]</f>
        <v>4440000</v>
      </c>
      <c r="L43" s="144">
        <f>Table2423256789101112131415162019[HARGA POKOK]*Table2423256789101112131415162019[STOK]</f>
        <v>3829500</v>
      </c>
      <c r="M43" s="144">
        <f>Table2423256789101112131415162019[HARGA JUAL]*Table2423256789101112131415162019[STOK]</f>
        <v>4440000</v>
      </c>
      <c r="N43" s="145"/>
    </row>
    <row r="44" spans="1:14" x14ac:dyDescent="0.25">
      <c r="A44" s="137">
        <v>38</v>
      </c>
      <c r="B44" s="138" t="s">
        <v>31</v>
      </c>
      <c r="C44" s="138" t="s">
        <v>64</v>
      </c>
      <c r="D44" s="140">
        <v>24000</v>
      </c>
      <c r="E44" s="140">
        <v>40000</v>
      </c>
      <c r="F44" s="141"/>
      <c r="G44" s="142"/>
      <c r="H44" s="141">
        <f>(Table2423256789101112131415162019[[#This Row],[STOK]]-Table2423256789101112131415162019[[#This Row],[TERJUAL]])</f>
        <v>0</v>
      </c>
      <c r="I44" s="143">
        <f>(Table2423256789101112131415162019[HARGA JUAL]*Table2423256789101112131415162019[TERJUAL])-(Table2423256789101112131415162019[HARGA POKOK]*Table2423256789101112131415162019[TERJUAL])</f>
        <v>0</v>
      </c>
      <c r="J44" s="143">
        <f>(Table2423256789101112131415162019[HARGA JUAL]*Table2423256789101112131415162019[TERJUAL])</f>
        <v>0</v>
      </c>
      <c r="K44" s="143">
        <f>Table2423256789101112131415162019[HARGA JUAL]*Table2423256789101112131415162019[SISA]</f>
        <v>0</v>
      </c>
      <c r="L44" s="144">
        <f>Table2423256789101112131415162019[HARGA POKOK]*Table2423256789101112131415162019[STOK]</f>
        <v>0</v>
      </c>
      <c r="M44" s="144">
        <f>Table2423256789101112131415162019[HARGA JUAL]*Table2423256789101112131415162019[STOK]</f>
        <v>0</v>
      </c>
      <c r="N44" s="145"/>
    </row>
    <row r="45" spans="1:14" x14ac:dyDescent="0.25">
      <c r="A45" s="137">
        <v>39</v>
      </c>
      <c r="B45" s="138" t="s">
        <v>31</v>
      </c>
      <c r="C45" s="138" t="s">
        <v>322</v>
      </c>
      <c r="D45" s="140">
        <v>30000</v>
      </c>
      <c r="E45" s="140">
        <v>40000</v>
      </c>
      <c r="F45" s="141">
        <v>17</v>
      </c>
      <c r="G45" s="142">
        <v>2</v>
      </c>
      <c r="H45" s="141">
        <f>(Table2423256789101112131415162019[[#This Row],[STOK]]-Table2423256789101112131415162019[[#This Row],[TERJUAL]])</f>
        <v>15</v>
      </c>
      <c r="I45" s="143">
        <f>(Table2423256789101112131415162019[HARGA JUAL]*Table2423256789101112131415162019[TERJUAL])-(Table2423256789101112131415162019[HARGA POKOK]*Table2423256789101112131415162019[TERJUAL])</f>
        <v>20000</v>
      </c>
      <c r="J45" s="143">
        <f>(Table2423256789101112131415162019[HARGA JUAL]*Table2423256789101112131415162019[TERJUAL])</f>
        <v>80000</v>
      </c>
      <c r="K45" s="143">
        <f>Table2423256789101112131415162019[HARGA JUAL]*Table2423256789101112131415162019[SISA]</f>
        <v>600000</v>
      </c>
      <c r="L45" s="144">
        <f>Table2423256789101112131415162019[HARGA POKOK]*Table2423256789101112131415162019[STOK]</f>
        <v>510000</v>
      </c>
      <c r="M45" s="144">
        <f>Table2423256789101112131415162019[HARGA JUAL]*Table2423256789101112131415162019[STOK]</f>
        <v>680000</v>
      </c>
      <c r="N45" s="145"/>
    </row>
    <row r="46" spans="1:14" x14ac:dyDescent="0.25">
      <c r="A46" s="137"/>
      <c r="B46" s="138" t="s">
        <v>31</v>
      </c>
      <c r="C46" s="138" t="s">
        <v>319</v>
      </c>
      <c r="D46" s="140">
        <v>63000</v>
      </c>
      <c r="E46" s="140">
        <v>75000</v>
      </c>
      <c r="F46" s="141">
        <v>1</v>
      </c>
      <c r="G46" s="142">
        <v>1</v>
      </c>
      <c r="H46" s="141">
        <f>(Table2423256789101112131415162019[[#This Row],[STOK]]-Table2423256789101112131415162019[[#This Row],[TERJUAL]])</f>
        <v>0</v>
      </c>
      <c r="I46" s="143">
        <f>(Table2423256789101112131415162019[HARGA JUAL]*Table2423256789101112131415162019[TERJUAL])-(Table2423256789101112131415162019[HARGA POKOK]*Table2423256789101112131415162019[TERJUAL])</f>
        <v>12000</v>
      </c>
      <c r="J46" s="143">
        <f>(Table2423256789101112131415162019[HARGA JUAL]*Table2423256789101112131415162019[TERJUAL])</f>
        <v>75000</v>
      </c>
      <c r="K46" s="143">
        <f>Table2423256789101112131415162019[HARGA JUAL]*Table2423256789101112131415162019[SISA]</f>
        <v>0</v>
      </c>
      <c r="L46" s="144">
        <f>Table2423256789101112131415162019[HARGA POKOK]*Table2423256789101112131415162019[STOK]</f>
        <v>63000</v>
      </c>
      <c r="M46" s="144">
        <f>Table2423256789101112131415162019[HARGA JUAL]*Table2423256789101112131415162019[STOK]</f>
        <v>75000</v>
      </c>
      <c r="N46" s="145"/>
    </row>
    <row r="47" spans="1:14" x14ac:dyDescent="0.25">
      <c r="A47" s="137">
        <v>40</v>
      </c>
      <c r="B47" s="138" t="s">
        <v>31</v>
      </c>
      <c r="C47" s="138" t="s">
        <v>261</v>
      </c>
      <c r="D47" s="140">
        <v>30000</v>
      </c>
      <c r="E47" s="140">
        <v>35000</v>
      </c>
      <c r="F47" s="141"/>
      <c r="G47" s="142"/>
      <c r="H47" s="141">
        <f>(Table2423256789101112131415162019[[#This Row],[STOK]]-Table2423256789101112131415162019[[#This Row],[TERJUAL]])</f>
        <v>0</v>
      </c>
      <c r="I47" s="143">
        <f>(Table2423256789101112131415162019[HARGA JUAL]*Table2423256789101112131415162019[TERJUAL])-(Table2423256789101112131415162019[HARGA POKOK]*Table2423256789101112131415162019[TERJUAL])</f>
        <v>0</v>
      </c>
      <c r="J47" s="143">
        <f>(Table2423256789101112131415162019[HARGA JUAL]*Table2423256789101112131415162019[TERJUAL])</f>
        <v>0</v>
      </c>
      <c r="K47" s="143">
        <f>Table2423256789101112131415162019[HARGA JUAL]*Table2423256789101112131415162019[SISA]</f>
        <v>0</v>
      </c>
      <c r="L47" s="144">
        <f>Table2423256789101112131415162019[HARGA POKOK]*Table2423256789101112131415162019[STOK]</f>
        <v>0</v>
      </c>
      <c r="M47" s="144">
        <f>Table2423256789101112131415162019[HARGA JUAL]*Table2423256789101112131415162019[STOK]</f>
        <v>0</v>
      </c>
      <c r="N47" s="145"/>
    </row>
    <row r="48" spans="1:14" x14ac:dyDescent="0.25">
      <c r="A48" s="137">
        <v>41</v>
      </c>
      <c r="B48" s="138" t="s">
        <v>31</v>
      </c>
      <c r="C48" s="138" t="s">
        <v>67</v>
      </c>
      <c r="D48" s="140">
        <v>27500</v>
      </c>
      <c r="E48" s="140">
        <v>40000</v>
      </c>
      <c r="F48" s="141">
        <v>4</v>
      </c>
      <c r="G48" s="142">
        <v>4</v>
      </c>
      <c r="H48" s="141">
        <f>(Table2423256789101112131415162019[[#This Row],[STOK]]-Table2423256789101112131415162019[[#This Row],[TERJUAL]])</f>
        <v>0</v>
      </c>
      <c r="I48" s="143">
        <f>(Table2423256789101112131415162019[HARGA JUAL]*Table2423256789101112131415162019[TERJUAL])-(Table2423256789101112131415162019[HARGA POKOK]*Table2423256789101112131415162019[TERJUAL])</f>
        <v>50000</v>
      </c>
      <c r="J48" s="143">
        <f>(Table2423256789101112131415162019[HARGA JUAL]*Table2423256789101112131415162019[TERJUAL])</f>
        <v>160000</v>
      </c>
      <c r="K48" s="143">
        <f>Table2423256789101112131415162019[HARGA JUAL]*Table2423256789101112131415162019[SISA]</f>
        <v>0</v>
      </c>
      <c r="L48" s="144">
        <f>Table2423256789101112131415162019[HARGA POKOK]*Table2423256789101112131415162019[STOK]</f>
        <v>110000</v>
      </c>
      <c r="M48" s="144">
        <f>Table2423256789101112131415162019[HARGA JUAL]*Table2423256789101112131415162019[STOK]</f>
        <v>160000</v>
      </c>
      <c r="N48" s="145"/>
    </row>
    <row r="49" spans="1:14" x14ac:dyDescent="0.25">
      <c r="A49" s="137">
        <v>42</v>
      </c>
      <c r="B49" s="138" t="s">
        <v>31</v>
      </c>
      <c r="C49" s="138" t="s">
        <v>309</v>
      </c>
      <c r="D49" s="140">
        <v>30000</v>
      </c>
      <c r="E49" s="140">
        <v>45000</v>
      </c>
      <c r="F49" s="141">
        <v>10</v>
      </c>
      <c r="G49" s="142">
        <v>1</v>
      </c>
      <c r="H49" s="141">
        <f>(Table2423256789101112131415162019[[#This Row],[STOK]]-Table2423256789101112131415162019[[#This Row],[TERJUAL]])</f>
        <v>9</v>
      </c>
      <c r="I49" s="143">
        <f>(Table2423256789101112131415162019[HARGA JUAL]*Table2423256789101112131415162019[TERJUAL])-(Table2423256789101112131415162019[HARGA POKOK]*Table2423256789101112131415162019[TERJUAL])</f>
        <v>15000</v>
      </c>
      <c r="J49" s="143">
        <f>(Table2423256789101112131415162019[HARGA JUAL]*Table2423256789101112131415162019[TERJUAL])</f>
        <v>45000</v>
      </c>
      <c r="K49" s="143">
        <f>Table2423256789101112131415162019[HARGA JUAL]*Table2423256789101112131415162019[SISA]</f>
        <v>405000</v>
      </c>
      <c r="L49" s="144">
        <f>Table2423256789101112131415162019[HARGA POKOK]*Table2423256789101112131415162019[STOK]</f>
        <v>300000</v>
      </c>
      <c r="M49" s="144">
        <f>Table2423256789101112131415162019[HARGA JUAL]*Table2423256789101112131415162019[STOK]</f>
        <v>450000</v>
      </c>
      <c r="N49" s="145"/>
    </row>
    <row r="50" spans="1:14" x14ac:dyDescent="0.25">
      <c r="A50" s="137">
        <v>43</v>
      </c>
      <c r="B50" s="138" t="s">
        <v>31</v>
      </c>
      <c r="C50" s="138" t="s">
        <v>324</v>
      </c>
      <c r="D50" s="140">
        <v>190000</v>
      </c>
      <c r="E50" s="140">
        <v>200000</v>
      </c>
      <c r="F50" s="141">
        <v>4</v>
      </c>
      <c r="G50" s="142"/>
      <c r="H50" s="141">
        <f>(Table2423256789101112131415162019[[#This Row],[STOK]]-Table2423256789101112131415162019[[#This Row],[TERJUAL]])</f>
        <v>4</v>
      </c>
      <c r="I50" s="143">
        <f>(Table2423256789101112131415162019[HARGA JUAL]*Table2423256789101112131415162019[TERJUAL])-(Table2423256789101112131415162019[HARGA POKOK]*Table2423256789101112131415162019[TERJUAL])</f>
        <v>0</v>
      </c>
      <c r="J50" s="143">
        <f>(Table2423256789101112131415162019[HARGA JUAL]*Table2423256789101112131415162019[TERJUAL])</f>
        <v>0</v>
      </c>
      <c r="K50" s="143">
        <f>Table2423256789101112131415162019[HARGA JUAL]*Table2423256789101112131415162019[SISA]</f>
        <v>800000</v>
      </c>
      <c r="L50" s="144">
        <f>Table2423256789101112131415162019[HARGA POKOK]*Table2423256789101112131415162019[STOK]</f>
        <v>760000</v>
      </c>
      <c r="M50" s="144">
        <f>Table2423256789101112131415162019[HARGA JUAL]*Table2423256789101112131415162019[STOK]</f>
        <v>800000</v>
      </c>
      <c r="N50" s="145"/>
    </row>
    <row r="51" spans="1:14" x14ac:dyDescent="0.25">
      <c r="A51" s="137">
        <v>44</v>
      </c>
      <c r="B51" s="138" t="s">
        <v>31</v>
      </c>
      <c r="C51" s="138" t="s">
        <v>139</v>
      </c>
      <c r="D51" s="140">
        <v>16000</v>
      </c>
      <c r="E51" s="140">
        <v>25000</v>
      </c>
      <c r="F51" s="141">
        <v>1</v>
      </c>
      <c r="G51" s="142"/>
      <c r="H51" s="141">
        <f>(Table2423256789101112131415162019[[#This Row],[STOK]]-Table2423256789101112131415162019[[#This Row],[TERJUAL]])</f>
        <v>1</v>
      </c>
      <c r="I51" s="143">
        <f>(Table2423256789101112131415162019[HARGA JUAL]*Table2423256789101112131415162019[TERJUAL])-(Table2423256789101112131415162019[HARGA POKOK]*Table2423256789101112131415162019[TERJUAL])</f>
        <v>0</v>
      </c>
      <c r="J51" s="143">
        <f>(Table2423256789101112131415162019[HARGA JUAL]*Table2423256789101112131415162019[TERJUAL])</f>
        <v>0</v>
      </c>
      <c r="K51" s="143">
        <f>Table2423256789101112131415162019[HARGA JUAL]*Table2423256789101112131415162019[SISA]</f>
        <v>25000</v>
      </c>
      <c r="L51" s="144">
        <f>Table2423256789101112131415162019[HARGA POKOK]*Table2423256789101112131415162019[STOK]</f>
        <v>16000</v>
      </c>
      <c r="M51" s="144">
        <f>Table2423256789101112131415162019[HARGA JUAL]*Table2423256789101112131415162019[STOK]</f>
        <v>25000</v>
      </c>
      <c r="N51" s="145"/>
    </row>
    <row r="52" spans="1:14" x14ac:dyDescent="0.25">
      <c r="A52" s="137">
        <v>45</v>
      </c>
      <c r="B52" s="138" t="s">
        <v>31</v>
      </c>
      <c r="C52" s="138" t="s">
        <v>320</v>
      </c>
      <c r="D52" s="140">
        <v>34000</v>
      </c>
      <c r="E52" s="140">
        <v>40000</v>
      </c>
      <c r="F52" s="141">
        <v>9</v>
      </c>
      <c r="G52" s="142">
        <v>1</v>
      </c>
      <c r="H52" s="141">
        <f>(Table2423256789101112131415162019[[#This Row],[STOK]]-Table2423256789101112131415162019[[#This Row],[TERJUAL]])</f>
        <v>8</v>
      </c>
      <c r="I52" s="143">
        <f>(Table2423256789101112131415162019[HARGA JUAL]*Table2423256789101112131415162019[TERJUAL])-(Table2423256789101112131415162019[HARGA POKOK]*Table2423256789101112131415162019[TERJUAL])</f>
        <v>6000</v>
      </c>
      <c r="J52" s="143">
        <f>(Table2423256789101112131415162019[HARGA JUAL]*Table2423256789101112131415162019[TERJUAL])</f>
        <v>40000</v>
      </c>
      <c r="K52" s="143">
        <f>Table2423256789101112131415162019[HARGA JUAL]*Table2423256789101112131415162019[SISA]</f>
        <v>320000</v>
      </c>
      <c r="L52" s="144">
        <f>Table2423256789101112131415162019[HARGA POKOK]*Table2423256789101112131415162019[STOK]</f>
        <v>306000</v>
      </c>
      <c r="M52" s="144">
        <f>Table2423256789101112131415162019[HARGA JUAL]*Table2423256789101112131415162019[STOK]</f>
        <v>360000</v>
      </c>
      <c r="N52" s="145"/>
    </row>
    <row r="53" spans="1:14" x14ac:dyDescent="0.25">
      <c r="A53" s="137">
        <v>46</v>
      </c>
      <c r="B53" s="138" t="s">
        <v>31</v>
      </c>
      <c r="C53" s="138" t="s">
        <v>318</v>
      </c>
      <c r="D53" s="140">
        <v>18000</v>
      </c>
      <c r="E53" s="140">
        <v>30000</v>
      </c>
      <c r="F53" s="141">
        <v>2</v>
      </c>
      <c r="G53" s="142">
        <v>2</v>
      </c>
      <c r="H53" s="141">
        <f>(Table2423256789101112131415162019[[#This Row],[STOK]]-Table2423256789101112131415162019[[#This Row],[TERJUAL]])</f>
        <v>0</v>
      </c>
      <c r="I53" s="143">
        <f>(Table2423256789101112131415162019[HARGA JUAL]*Table2423256789101112131415162019[TERJUAL])-(Table2423256789101112131415162019[HARGA POKOK]*Table2423256789101112131415162019[TERJUAL])</f>
        <v>24000</v>
      </c>
      <c r="J53" s="143">
        <f>(Table2423256789101112131415162019[HARGA JUAL]*Table2423256789101112131415162019[TERJUAL])</f>
        <v>60000</v>
      </c>
      <c r="K53" s="143">
        <f>Table2423256789101112131415162019[HARGA JUAL]*Table2423256789101112131415162019[SISA]</f>
        <v>0</v>
      </c>
      <c r="L53" s="144">
        <f>Table2423256789101112131415162019[HARGA POKOK]*Table2423256789101112131415162019[STOK]</f>
        <v>36000</v>
      </c>
      <c r="M53" s="144">
        <f>Table2423256789101112131415162019[HARGA JUAL]*Table2423256789101112131415162019[STOK]</f>
        <v>60000</v>
      </c>
      <c r="N53" s="145"/>
    </row>
    <row r="54" spans="1:14" x14ac:dyDescent="0.25">
      <c r="A54" s="137">
        <v>47</v>
      </c>
      <c r="B54" s="138" t="s">
        <v>31</v>
      </c>
      <c r="C54" s="193" t="s">
        <v>184</v>
      </c>
      <c r="D54" s="140">
        <v>12500</v>
      </c>
      <c r="E54" s="140">
        <v>30000</v>
      </c>
      <c r="F54" s="141">
        <v>86</v>
      </c>
      <c r="G54" s="142">
        <v>2</v>
      </c>
      <c r="H54" s="141">
        <f>(Table2423256789101112131415162019[[#This Row],[STOK]]-Table2423256789101112131415162019[[#This Row],[TERJUAL]])</f>
        <v>84</v>
      </c>
      <c r="I54" s="143">
        <f>(Table2423256789101112131415162019[HARGA JUAL]*Table2423256789101112131415162019[TERJUAL])-(Table2423256789101112131415162019[HARGA POKOK]*Table2423256789101112131415162019[TERJUAL])</f>
        <v>35000</v>
      </c>
      <c r="J54" s="143">
        <f>(Table2423256789101112131415162019[HARGA JUAL]*Table2423256789101112131415162019[TERJUAL])</f>
        <v>60000</v>
      </c>
      <c r="K54" s="143">
        <f>Table2423256789101112131415162019[HARGA JUAL]*Table2423256789101112131415162019[SISA]</f>
        <v>2520000</v>
      </c>
      <c r="L54" s="144">
        <f>Table2423256789101112131415162019[HARGA POKOK]*Table2423256789101112131415162019[STOK]</f>
        <v>1075000</v>
      </c>
      <c r="M54" s="144">
        <f>Table2423256789101112131415162019[HARGA JUAL]*Table2423256789101112131415162019[STOK]</f>
        <v>2580000</v>
      </c>
      <c r="N54" s="145"/>
    </row>
    <row r="55" spans="1:14" x14ac:dyDescent="0.25">
      <c r="A55" s="283">
        <v>48</v>
      </c>
      <c r="B55" s="284" t="s">
        <v>31</v>
      </c>
      <c r="C55" s="284" t="s">
        <v>185</v>
      </c>
      <c r="D55" s="285">
        <v>28500</v>
      </c>
      <c r="E55" s="285">
        <v>10000</v>
      </c>
      <c r="F55" s="286">
        <v>10</v>
      </c>
      <c r="G55" s="287"/>
      <c r="H55" s="286">
        <f>(Table2423256789101112131415162019[[#This Row],[STOK]]-Table2423256789101112131415162019[[#This Row],[TERJUAL]])</f>
        <v>10</v>
      </c>
      <c r="I55" s="288">
        <f>(Table2423256789101112131415162019[HARGA JUAL]*Table2423256789101112131415162019[TERJUAL])-(Table2423256789101112131415162019[HARGA POKOK]*Table2423256789101112131415162019[TERJUAL])</f>
        <v>0</v>
      </c>
      <c r="J55" s="288">
        <f>(Table2423256789101112131415162019[HARGA JUAL]*Table2423256789101112131415162019[TERJUAL])</f>
        <v>0</v>
      </c>
      <c r="K55" s="288">
        <f>Table2423256789101112131415162019[HARGA JUAL]*Table2423256789101112131415162019[SISA]</f>
        <v>100000</v>
      </c>
      <c r="L55" s="289">
        <f>Table2423256789101112131415162019[HARGA POKOK]*Table2423256789101112131415162019[STOK]</f>
        <v>285000</v>
      </c>
      <c r="M55" s="289">
        <f>Table2423256789101112131415162019[HARGA JUAL]*Table2423256789101112131415162019[STOK]</f>
        <v>100000</v>
      </c>
      <c r="N55" s="290" t="s">
        <v>179</v>
      </c>
    </row>
    <row r="56" spans="1:14" x14ac:dyDescent="0.25">
      <c r="A56" s="137">
        <v>49</v>
      </c>
      <c r="B56" s="138" t="s">
        <v>31</v>
      </c>
      <c r="C56" s="138" t="s">
        <v>186</v>
      </c>
      <c r="D56" s="140">
        <v>48500</v>
      </c>
      <c r="E56" s="140">
        <v>65000</v>
      </c>
      <c r="F56" s="141">
        <v>9</v>
      </c>
      <c r="G56" s="142"/>
      <c r="H56" s="141">
        <f>(Table2423256789101112131415162019[[#This Row],[STOK]]-Table2423256789101112131415162019[[#This Row],[TERJUAL]])</f>
        <v>9</v>
      </c>
      <c r="I56" s="143">
        <f>(Table2423256789101112131415162019[HARGA JUAL]*Table2423256789101112131415162019[TERJUAL])-(Table2423256789101112131415162019[HARGA POKOK]*Table2423256789101112131415162019[TERJUAL])</f>
        <v>0</v>
      </c>
      <c r="J56" s="143">
        <f>(Table2423256789101112131415162019[HARGA JUAL]*Table2423256789101112131415162019[TERJUAL])</f>
        <v>0</v>
      </c>
      <c r="K56" s="143">
        <f>Table2423256789101112131415162019[HARGA JUAL]*Table2423256789101112131415162019[SISA]</f>
        <v>585000</v>
      </c>
      <c r="L56" s="144">
        <f>Table2423256789101112131415162019[HARGA POKOK]*Table2423256789101112131415162019[STOK]</f>
        <v>436500</v>
      </c>
      <c r="M56" s="144">
        <f>Table2423256789101112131415162019[HARGA JUAL]*Table2423256789101112131415162019[STOK]</f>
        <v>585000</v>
      </c>
      <c r="N56" s="145"/>
    </row>
    <row r="57" spans="1:14" x14ac:dyDescent="0.25">
      <c r="A57" s="137">
        <v>50</v>
      </c>
      <c r="B57" s="138" t="s">
        <v>31</v>
      </c>
      <c r="C57" s="138" t="s">
        <v>187</v>
      </c>
      <c r="D57" s="140">
        <v>47500</v>
      </c>
      <c r="E57" s="140">
        <v>65000</v>
      </c>
      <c r="F57" s="141">
        <v>26</v>
      </c>
      <c r="G57" s="142">
        <v>1</v>
      </c>
      <c r="H57" s="141">
        <f>(Table2423256789101112131415162019[[#This Row],[STOK]]-Table2423256789101112131415162019[[#This Row],[TERJUAL]])</f>
        <v>25</v>
      </c>
      <c r="I57" s="143">
        <f>(Table2423256789101112131415162019[HARGA JUAL]*Table2423256789101112131415162019[TERJUAL])-(Table2423256789101112131415162019[HARGA POKOK]*Table2423256789101112131415162019[TERJUAL])</f>
        <v>17500</v>
      </c>
      <c r="J57" s="143">
        <f>(Table2423256789101112131415162019[HARGA JUAL]*Table2423256789101112131415162019[TERJUAL])</f>
        <v>65000</v>
      </c>
      <c r="K57" s="143">
        <f>Table2423256789101112131415162019[HARGA JUAL]*Table2423256789101112131415162019[SISA]</f>
        <v>1625000</v>
      </c>
      <c r="L57" s="144">
        <f>Table2423256789101112131415162019[HARGA POKOK]*Table2423256789101112131415162019[STOK]</f>
        <v>1235000</v>
      </c>
      <c r="M57" s="144">
        <f>Table2423256789101112131415162019[HARGA JUAL]*Table2423256789101112131415162019[STOK]</f>
        <v>1690000</v>
      </c>
      <c r="N57" s="145"/>
    </row>
    <row r="58" spans="1:14" x14ac:dyDescent="0.25">
      <c r="A58" s="137">
        <v>51</v>
      </c>
      <c r="B58" s="138" t="s">
        <v>32</v>
      </c>
      <c r="C58" s="193" t="s">
        <v>18</v>
      </c>
      <c r="D58" s="140">
        <v>1700</v>
      </c>
      <c r="E58" s="140">
        <v>5000</v>
      </c>
      <c r="F58" s="141">
        <v>169</v>
      </c>
      <c r="G58" s="142"/>
      <c r="H58" s="141">
        <f>(Table2423256789101112131415162019[[#This Row],[STOK]]-Table2423256789101112131415162019[[#This Row],[TERJUAL]])</f>
        <v>169</v>
      </c>
      <c r="I58" s="143">
        <f>(Table2423256789101112131415162019[HARGA JUAL]*Table2423256789101112131415162019[TERJUAL])-(Table2423256789101112131415162019[HARGA POKOK]*Table2423256789101112131415162019[TERJUAL])</f>
        <v>0</v>
      </c>
      <c r="J58" s="143">
        <f>(Table2423256789101112131415162019[HARGA JUAL]*Table2423256789101112131415162019[TERJUAL])</f>
        <v>0</v>
      </c>
      <c r="K58" s="143">
        <f>Table2423256789101112131415162019[HARGA JUAL]*Table2423256789101112131415162019[SISA]</f>
        <v>845000</v>
      </c>
      <c r="L58" s="144">
        <f>Table2423256789101112131415162019[HARGA POKOK]*Table2423256789101112131415162019[STOK]</f>
        <v>287300</v>
      </c>
      <c r="M58" s="144">
        <f>Table2423256789101112131415162019[HARGA JUAL]*Table2423256789101112131415162019[STOK]</f>
        <v>845000</v>
      </c>
      <c r="N58" s="145"/>
    </row>
    <row r="59" spans="1:14" x14ac:dyDescent="0.25">
      <c r="A59" s="137">
        <v>52</v>
      </c>
      <c r="B59" s="138" t="s">
        <v>32</v>
      </c>
      <c r="C59" s="138" t="s">
        <v>21</v>
      </c>
      <c r="D59" s="140">
        <v>30000</v>
      </c>
      <c r="E59" s="140">
        <v>45000</v>
      </c>
      <c r="F59" s="141">
        <v>1</v>
      </c>
      <c r="G59" s="142"/>
      <c r="H59" s="141">
        <f>(Table2423256789101112131415162019[[#This Row],[STOK]]-Table2423256789101112131415162019[[#This Row],[TERJUAL]])</f>
        <v>1</v>
      </c>
      <c r="I59" s="143">
        <f>(Table2423256789101112131415162019[HARGA JUAL]*Table2423256789101112131415162019[TERJUAL])-(Table2423256789101112131415162019[HARGA POKOK]*Table2423256789101112131415162019[TERJUAL])</f>
        <v>0</v>
      </c>
      <c r="J59" s="143">
        <f>(Table2423256789101112131415162019[HARGA JUAL]*Table2423256789101112131415162019[TERJUAL])</f>
        <v>0</v>
      </c>
      <c r="K59" s="143">
        <f>Table2423256789101112131415162019[HARGA JUAL]*Table2423256789101112131415162019[SISA]</f>
        <v>45000</v>
      </c>
      <c r="L59" s="144">
        <f>Table2423256789101112131415162019[HARGA POKOK]*Table2423256789101112131415162019[STOK]</f>
        <v>30000</v>
      </c>
      <c r="M59" s="144">
        <f>Table2423256789101112131415162019[HARGA JUAL]*Table2423256789101112131415162019[STOK]</f>
        <v>45000</v>
      </c>
      <c r="N59" s="145"/>
    </row>
    <row r="60" spans="1:14" x14ac:dyDescent="0.25">
      <c r="A60" s="137">
        <v>53</v>
      </c>
      <c r="B60" s="138" t="s">
        <v>32</v>
      </c>
      <c r="C60" s="138" t="s">
        <v>20</v>
      </c>
      <c r="D60" s="140">
        <v>1500</v>
      </c>
      <c r="E60" s="140">
        <v>5000</v>
      </c>
      <c r="F60" s="141">
        <v>60</v>
      </c>
      <c r="G60" s="142">
        <v>4</v>
      </c>
      <c r="H60" s="141">
        <f>(Table2423256789101112131415162019[[#This Row],[STOK]]-Table2423256789101112131415162019[[#This Row],[TERJUAL]])</f>
        <v>56</v>
      </c>
      <c r="I60" s="143">
        <f>(Table2423256789101112131415162019[HARGA JUAL]*Table2423256789101112131415162019[TERJUAL])-(Table2423256789101112131415162019[HARGA POKOK]*Table2423256789101112131415162019[TERJUAL])</f>
        <v>14000</v>
      </c>
      <c r="J60" s="143">
        <f>(Table2423256789101112131415162019[HARGA JUAL]*Table2423256789101112131415162019[TERJUAL])</f>
        <v>20000</v>
      </c>
      <c r="K60" s="143">
        <f>Table2423256789101112131415162019[HARGA JUAL]*Table2423256789101112131415162019[SISA]</f>
        <v>280000</v>
      </c>
      <c r="L60" s="144">
        <f>Table2423256789101112131415162019[HARGA POKOK]*Table2423256789101112131415162019[STOK]</f>
        <v>90000</v>
      </c>
      <c r="M60" s="144">
        <f>Table2423256789101112131415162019[HARGA JUAL]*Table2423256789101112131415162019[STOK]</f>
        <v>300000</v>
      </c>
      <c r="N60" s="145"/>
    </row>
    <row r="61" spans="1:14" x14ac:dyDescent="0.25">
      <c r="A61" s="137">
        <v>54</v>
      </c>
      <c r="B61" s="138" t="s">
        <v>32</v>
      </c>
      <c r="C61" s="138" t="s">
        <v>23</v>
      </c>
      <c r="D61" s="140">
        <v>30000</v>
      </c>
      <c r="E61" s="140">
        <v>40000</v>
      </c>
      <c r="F61" s="141">
        <v>8</v>
      </c>
      <c r="G61" s="142"/>
      <c r="H61" s="141">
        <f>(Table2423256789101112131415162019[[#This Row],[STOK]]-Table2423256789101112131415162019[[#This Row],[TERJUAL]])</f>
        <v>8</v>
      </c>
      <c r="I61" s="143">
        <f>(Table2423256789101112131415162019[HARGA JUAL]*Table2423256789101112131415162019[TERJUAL])-(Table2423256789101112131415162019[HARGA POKOK]*Table2423256789101112131415162019[TERJUAL])</f>
        <v>0</v>
      </c>
      <c r="J61" s="143">
        <f>(Table2423256789101112131415162019[HARGA JUAL]*Table2423256789101112131415162019[TERJUAL])</f>
        <v>0</v>
      </c>
      <c r="K61" s="143">
        <f>Table2423256789101112131415162019[HARGA JUAL]*Table2423256789101112131415162019[SISA]</f>
        <v>320000</v>
      </c>
      <c r="L61" s="144">
        <f>Table2423256789101112131415162019[HARGA POKOK]*Table2423256789101112131415162019[STOK]</f>
        <v>240000</v>
      </c>
      <c r="M61" s="144">
        <f>Table2423256789101112131415162019[HARGA JUAL]*Table2423256789101112131415162019[STOK]</f>
        <v>320000</v>
      </c>
      <c r="N61" s="145"/>
    </row>
    <row r="62" spans="1:14" x14ac:dyDescent="0.25">
      <c r="A62" s="137">
        <v>55</v>
      </c>
      <c r="B62" s="138" t="s">
        <v>32</v>
      </c>
      <c r="C62" s="138" t="s">
        <v>19</v>
      </c>
      <c r="D62" s="140">
        <v>1600</v>
      </c>
      <c r="E62" s="140">
        <v>5000</v>
      </c>
      <c r="F62" s="141">
        <v>188</v>
      </c>
      <c r="G62" s="142">
        <v>9</v>
      </c>
      <c r="H62" s="141">
        <f>(Table2423256789101112131415162019[[#This Row],[STOK]]-Table2423256789101112131415162019[[#This Row],[TERJUAL]])</f>
        <v>179</v>
      </c>
      <c r="I62" s="143">
        <f>(Table2423256789101112131415162019[HARGA JUAL]*Table2423256789101112131415162019[TERJUAL])-(Table2423256789101112131415162019[HARGA POKOK]*Table2423256789101112131415162019[TERJUAL])</f>
        <v>30600</v>
      </c>
      <c r="J62" s="143">
        <f>(Table2423256789101112131415162019[HARGA JUAL]*Table2423256789101112131415162019[TERJUAL])</f>
        <v>45000</v>
      </c>
      <c r="K62" s="143">
        <f>Table2423256789101112131415162019[HARGA JUAL]*Table2423256789101112131415162019[SISA]</f>
        <v>895000</v>
      </c>
      <c r="L62" s="144">
        <f>Table2423256789101112131415162019[HARGA POKOK]*Table2423256789101112131415162019[STOK]</f>
        <v>300800</v>
      </c>
      <c r="M62" s="144">
        <f>Table2423256789101112131415162019[HARGA JUAL]*Table2423256789101112131415162019[STOK]</f>
        <v>940000</v>
      </c>
      <c r="N62" s="145"/>
    </row>
    <row r="63" spans="1:14" x14ac:dyDescent="0.25">
      <c r="A63" s="137">
        <v>56</v>
      </c>
      <c r="B63" s="138" t="s">
        <v>32</v>
      </c>
      <c r="C63" s="138" t="s">
        <v>22</v>
      </c>
      <c r="D63" s="140">
        <v>30000</v>
      </c>
      <c r="E63" s="140">
        <v>40000</v>
      </c>
      <c r="F63" s="141">
        <v>1</v>
      </c>
      <c r="G63" s="142">
        <v>1</v>
      </c>
      <c r="H63" s="141">
        <f>(Table2423256789101112131415162019[[#This Row],[STOK]]-Table2423256789101112131415162019[[#This Row],[TERJUAL]])</f>
        <v>0</v>
      </c>
      <c r="I63" s="143">
        <f>(Table2423256789101112131415162019[HARGA JUAL]*Table2423256789101112131415162019[TERJUAL])-(Table2423256789101112131415162019[HARGA POKOK]*Table2423256789101112131415162019[TERJUAL])</f>
        <v>10000</v>
      </c>
      <c r="J63" s="143">
        <f>(Table2423256789101112131415162019[HARGA JUAL]*Table2423256789101112131415162019[TERJUAL])</f>
        <v>40000</v>
      </c>
      <c r="K63" s="143">
        <f>Table2423256789101112131415162019[HARGA JUAL]*Table2423256789101112131415162019[SISA]</f>
        <v>0</v>
      </c>
      <c r="L63" s="144">
        <f>Table2423256789101112131415162019[HARGA POKOK]*Table2423256789101112131415162019[STOK]</f>
        <v>30000</v>
      </c>
      <c r="M63" s="144">
        <f>Table2423256789101112131415162019[HARGA JUAL]*Table2423256789101112131415162019[STOK]</f>
        <v>40000</v>
      </c>
      <c r="N63" s="145"/>
    </row>
    <row r="64" spans="1:14" x14ac:dyDescent="0.25">
      <c r="A64" s="137">
        <v>57</v>
      </c>
      <c r="B64" s="138" t="s">
        <v>32</v>
      </c>
      <c r="C64" s="138" t="s">
        <v>24</v>
      </c>
      <c r="D64" s="140">
        <v>17500</v>
      </c>
      <c r="E64" s="140">
        <v>40000</v>
      </c>
      <c r="F64" s="141">
        <v>0</v>
      </c>
      <c r="G64" s="142"/>
      <c r="H64" s="141">
        <f>(Table2423256789101112131415162019[[#This Row],[STOK]]-Table2423256789101112131415162019[[#This Row],[TERJUAL]])</f>
        <v>0</v>
      </c>
      <c r="I64" s="143">
        <f>(Table2423256789101112131415162019[HARGA JUAL]*Table2423256789101112131415162019[TERJUAL])-(Table2423256789101112131415162019[HARGA POKOK]*Table2423256789101112131415162019[TERJUAL])</f>
        <v>0</v>
      </c>
      <c r="J64" s="143">
        <f>(Table2423256789101112131415162019[HARGA JUAL]*Table2423256789101112131415162019[TERJUAL])</f>
        <v>0</v>
      </c>
      <c r="K64" s="143">
        <f>Table2423256789101112131415162019[HARGA JUAL]*Table2423256789101112131415162019[SISA]</f>
        <v>0</v>
      </c>
      <c r="L64" s="144">
        <f>Table2423256789101112131415162019[HARGA POKOK]*Table2423256789101112131415162019[STOK]</f>
        <v>0</v>
      </c>
      <c r="M64" s="144">
        <f>Table2423256789101112131415162019[HARGA JUAL]*Table2423256789101112131415162019[STOK]</f>
        <v>0</v>
      </c>
      <c r="N64" s="145"/>
    </row>
    <row r="65" spans="1:15" x14ac:dyDescent="0.25">
      <c r="A65" s="137">
        <v>58</v>
      </c>
      <c r="B65" s="138" t="s">
        <v>144</v>
      </c>
      <c r="C65" s="138" t="s">
        <v>145</v>
      </c>
      <c r="D65" s="140">
        <v>3000</v>
      </c>
      <c r="E65" s="140">
        <v>6000</v>
      </c>
      <c r="F65" s="141">
        <v>66</v>
      </c>
      <c r="G65" s="142">
        <v>5</v>
      </c>
      <c r="H65" s="141">
        <f>(Table2423256789101112131415162019[[#This Row],[STOK]]-Table2423256789101112131415162019[[#This Row],[TERJUAL]])</f>
        <v>61</v>
      </c>
      <c r="I65" s="143">
        <f>(Table2423256789101112131415162019[HARGA JUAL]*Table2423256789101112131415162019[TERJUAL])-(Table2423256789101112131415162019[HARGA POKOK]*Table2423256789101112131415162019[TERJUAL])</f>
        <v>15000</v>
      </c>
      <c r="J65" s="143">
        <f>(Table2423256789101112131415162019[HARGA JUAL]*Table2423256789101112131415162019[TERJUAL])</f>
        <v>30000</v>
      </c>
      <c r="K65" s="143">
        <f>Table2423256789101112131415162019[HARGA JUAL]*Table2423256789101112131415162019[SISA]</f>
        <v>366000</v>
      </c>
      <c r="L65" s="144">
        <f>Table2423256789101112131415162019[HARGA POKOK]*Table2423256789101112131415162019[STOK]</f>
        <v>198000</v>
      </c>
      <c r="M65" s="144">
        <f>Table2423256789101112131415162019[HARGA JUAL]*Table2423256789101112131415162019[STOK]</f>
        <v>396000</v>
      </c>
      <c r="N65" s="145"/>
    </row>
    <row r="66" spans="1:15" x14ac:dyDescent="0.25">
      <c r="A66" s="291">
        <v>59</v>
      </c>
      <c r="B66" s="292" t="s">
        <v>290</v>
      </c>
      <c r="C66" s="292" t="s">
        <v>188</v>
      </c>
      <c r="D66" s="293">
        <v>400000</v>
      </c>
      <c r="E66" s="293">
        <v>485000</v>
      </c>
      <c r="F66" s="294">
        <v>65</v>
      </c>
      <c r="G66" s="295">
        <v>57</v>
      </c>
      <c r="H66" s="294">
        <f>(Table2423256789101112131415162019[[#This Row],[STOK]]-Table2423256789101112131415162019[[#This Row],[TERJUAL]])</f>
        <v>8</v>
      </c>
      <c r="I66" s="296">
        <f>(Table2423256789101112131415162019[HARGA JUAL]*Table2423256789101112131415162019[TERJUAL])-(Table2423256789101112131415162019[HARGA POKOK]*Table2423256789101112131415162019[TERJUAL])</f>
        <v>4845000</v>
      </c>
      <c r="J66" s="296">
        <f>(Table2423256789101112131415162019[HARGA JUAL]*Table2423256789101112131415162019[TERJUAL])</f>
        <v>27645000</v>
      </c>
      <c r="K66" s="296">
        <f>Table2423256789101112131415162019[HARGA JUAL]*Table2423256789101112131415162019[SISA]</f>
        <v>3880000</v>
      </c>
      <c r="L66" s="297">
        <f>Table2423256789101112131415162019[HARGA POKOK]*Table2423256789101112131415162019[STOK]</f>
        <v>26000000</v>
      </c>
      <c r="M66" s="297">
        <f>Table2423256789101112131415162019[HARGA JUAL]*Table2423256789101112131415162019[STOK]</f>
        <v>31525000</v>
      </c>
      <c r="N66" s="298"/>
    </row>
    <row r="67" spans="1:15" x14ac:dyDescent="0.25">
      <c r="A67" s="137">
        <v>60</v>
      </c>
      <c r="B67" s="138" t="s">
        <v>33</v>
      </c>
      <c r="C67" s="138" t="s">
        <v>189</v>
      </c>
      <c r="D67" s="140">
        <v>452000</v>
      </c>
      <c r="E67" s="140">
        <v>560000</v>
      </c>
      <c r="F67" s="141">
        <v>0</v>
      </c>
      <c r="G67" s="142"/>
      <c r="H67" s="141">
        <f>(Table2423256789101112131415162019[[#This Row],[STOK]]-Table2423256789101112131415162019[[#This Row],[TERJUAL]])</f>
        <v>0</v>
      </c>
      <c r="I67" s="143">
        <f>(Table2423256789101112131415162019[HARGA JUAL]*Table2423256789101112131415162019[TERJUAL])-(Table2423256789101112131415162019[HARGA POKOK]*Table2423256789101112131415162019[TERJUAL])</f>
        <v>0</v>
      </c>
      <c r="J67" s="143">
        <f>(Table2423256789101112131415162019[HARGA JUAL]*Table2423256789101112131415162019[TERJUAL])</f>
        <v>0</v>
      </c>
      <c r="K67" s="143">
        <f>Table2423256789101112131415162019[HARGA JUAL]*Table2423256789101112131415162019[SISA]</f>
        <v>0</v>
      </c>
      <c r="L67" s="144">
        <f>Table2423256789101112131415162019[HARGA POKOK]*Table2423256789101112131415162019[STOK]</f>
        <v>0</v>
      </c>
      <c r="M67" s="144">
        <f>Table2423256789101112131415162019[HARGA JUAL]*Table2423256789101112131415162019[STOK]</f>
        <v>0</v>
      </c>
      <c r="N67" s="145"/>
    </row>
    <row r="68" spans="1:15" x14ac:dyDescent="0.25">
      <c r="A68" s="137">
        <v>61</v>
      </c>
      <c r="B68" s="138" t="s">
        <v>192</v>
      </c>
      <c r="C68" s="138" t="s">
        <v>142</v>
      </c>
      <c r="D68" s="140">
        <v>310000</v>
      </c>
      <c r="E68" s="140">
        <v>435000</v>
      </c>
      <c r="F68" s="141">
        <v>0</v>
      </c>
      <c r="G68" s="142"/>
      <c r="H68" s="141">
        <f>(Table2423256789101112131415162019[[#This Row],[STOK]]-Table2423256789101112131415162019[[#This Row],[TERJUAL]])</f>
        <v>0</v>
      </c>
      <c r="I68" s="143">
        <f>(Table2423256789101112131415162019[HARGA JUAL]*Table2423256789101112131415162019[TERJUAL])-(Table2423256789101112131415162019[HARGA POKOK]*Table2423256789101112131415162019[TERJUAL])</f>
        <v>0</v>
      </c>
      <c r="J68" s="143">
        <f>(Table2423256789101112131415162019[HARGA JUAL]*Table2423256789101112131415162019[TERJUAL])</f>
        <v>0</v>
      </c>
      <c r="K68" s="143">
        <f>Table2423256789101112131415162019[HARGA JUAL]*Table2423256789101112131415162019[SISA]</f>
        <v>0</v>
      </c>
      <c r="L68" s="144">
        <f>Table2423256789101112131415162019[HARGA POKOK]*Table2423256789101112131415162019[STOK]</f>
        <v>0</v>
      </c>
      <c r="M68" s="144">
        <f>Table2423256789101112131415162019[HARGA JUAL]*Table2423256789101112131415162019[STOK]</f>
        <v>0</v>
      </c>
      <c r="N68" s="145"/>
    </row>
    <row r="69" spans="1:15" x14ac:dyDescent="0.25">
      <c r="A69" s="137">
        <v>62</v>
      </c>
      <c r="B69" s="138" t="s">
        <v>192</v>
      </c>
      <c r="C69" s="138" t="s">
        <v>269</v>
      </c>
      <c r="D69" s="140">
        <v>417000</v>
      </c>
      <c r="E69" s="140">
        <v>470000</v>
      </c>
      <c r="F69" s="141"/>
      <c r="G69" s="142"/>
      <c r="H69" s="141">
        <f>(Table2423256789101112131415162019[[#This Row],[STOK]]-Table2423256789101112131415162019[[#This Row],[TERJUAL]])</f>
        <v>0</v>
      </c>
      <c r="I69" s="143">
        <f>(Table2423256789101112131415162019[HARGA JUAL]*Table2423256789101112131415162019[TERJUAL])-(Table2423256789101112131415162019[HARGA POKOK]*Table2423256789101112131415162019[TERJUAL])</f>
        <v>0</v>
      </c>
      <c r="J69" s="143">
        <f>(Table2423256789101112131415162019[HARGA JUAL]*Table2423256789101112131415162019[TERJUAL])</f>
        <v>0</v>
      </c>
      <c r="K69" s="143">
        <f>Table2423256789101112131415162019[HARGA JUAL]*Table2423256789101112131415162019[SISA]</f>
        <v>0</v>
      </c>
      <c r="L69" s="144">
        <f>Table2423256789101112131415162019[HARGA POKOK]*Table2423256789101112131415162019[STOK]</f>
        <v>0</v>
      </c>
      <c r="M69" s="144">
        <f>Table2423256789101112131415162019[HARGA JUAL]*Table2423256789101112131415162019[STOK]</f>
        <v>0</v>
      </c>
      <c r="N69" s="145"/>
    </row>
    <row r="70" spans="1:15" x14ac:dyDescent="0.25">
      <c r="A70" s="137">
        <v>63</v>
      </c>
      <c r="B70" s="138" t="s">
        <v>193</v>
      </c>
      <c r="C70" s="138" t="s">
        <v>191</v>
      </c>
      <c r="D70" s="140">
        <v>9000</v>
      </c>
      <c r="E70" s="140">
        <v>16000</v>
      </c>
      <c r="F70" s="141">
        <v>27</v>
      </c>
      <c r="G70" s="142">
        <v>21</v>
      </c>
      <c r="H70" s="141">
        <f>(Table2423256789101112131415162019[[#This Row],[STOK]]-Table2423256789101112131415162019[[#This Row],[TERJUAL]])</f>
        <v>6</v>
      </c>
      <c r="I70" s="143">
        <f>(Table2423256789101112131415162019[HARGA JUAL]*Table2423256789101112131415162019[TERJUAL])-(Table2423256789101112131415162019[HARGA POKOK]*Table2423256789101112131415162019[TERJUAL])</f>
        <v>147000</v>
      </c>
      <c r="J70" s="143">
        <f>(Table2423256789101112131415162019[HARGA JUAL]*Table2423256789101112131415162019[TERJUAL])</f>
        <v>336000</v>
      </c>
      <c r="K70" s="143">
        <f>Table2423256789101112131415162019[HARGA JUAL]*Table2423256789101112131415162019[SISA]</f>
        <v>96000</v>
      </c>
      <c r="L70" s="144">
        <f>Table2423256789101112131415162019[HARGA POKOK]*Table2423256789101112131415162019[STOK]</f>
        <v>243000</v>
      </c>
      <c r="M70" s="144">
        <f>Table2423256789101112131415162019[HARGA JUAL]*Table2423256789101112131415162019[STOK]</f>
        <v>432000</v>
      </c>
      <c r="N70" s="145" t="s">
        <v>292</v>
      </c>
    </row>
    <row r="71" spans="1:15" x14ac:dyDescent="0.25">
      <c r="A71" s="137">
        <v>64</v>
      </c>
      <c r="B71" s="138" t="s">
        <v>193</v>
      </c>
      <c r="C71" s="138" t="s">
        <v>214</v>
      </c>
      <c r="D71" s="140">
        <v>9000</v>
      </c>
      <c r="E71" s="140">
        <v>15000</v>
      </c>
      <c r="F71" s="141">
        <v>31</v>
      </c>
      <c r="G71" s="142">
        <v>19</v>
      </c>
      <c r="H71" s="141">
        <f>(Table2423256789101112131415162019[[#This Row],[STOK]]-Table2423256789101112131415162019[[#This Row],[TERJUAL]])</f>
        <v>12</v>
      </c>
      <c r="I71" s="143">
        <f>(Table2423256789101112131415162019[HARGA JUAL]*Table2423256789101112131415162019[TERJUAL])-(Table2423256789101112131415162019[HARGA POKOK]*Table2423256789101112131415162019[TERJUAL])</f>
        <v>114000</v>
      </c>
      <c r="J71" s="143">
        <f>(Table2423256789101112131415162019[HARGA JUAL]*Table2423256789101112131415162019[TERJUAL])</f>
        <v>285000</v>
      </c>
      <c r="K71" s="143">
        <f>Table2423256789101112131415162019[HARGA JUAL]*Table2423256789101112131415162019[SISA]</f>
        <v>180000</v>
      </c>
      <c r="L71" s="144">
        <f>Table2423256789101112131415162019[HARGA POKOK]*Table2423256789101112131415162019[STOK]</f>
        <v>279000</v>
      </c>
      <c r="M71" s="144">
        <f>Table2423256789101112131415162019[HARGA JUAL]*Table2423256789101112131415162019[STOK]</f>
        <v>465000</v>
      </c>
      <c r="N71" s="145"/>
    </row>
    <row r="72" spans="1:15" x14ac:dyDescent="0.25">
      <c r="A72" s="137">
        <v>65</v>
      </c>
      <c r="B72" s="138" t="s">
        <v>206</v>
      </c>
      <c r="C72" s="138" t="s">
        <v>207</v>
      </c>
      <c r="D72" s="140">
        <v>12000</v>
      </c>
      <c r="E72" s="140">
        <v>18000</v>
      </c>
      <c r="F72" s="141">
        <v>8</v>
      </c>
      <c r="G72" s="142">
        <v>3</v>
      </c>
      <c r="H72" s="141">
        <f>(Table2423256789101112131415162019[[#This Row],[STOK]]-Table2423256789101112131415162019[[#This Row],[TERJUAL]])</f>
        <v>5</v>
      </c>
      <c r="I72" s="143">
        <f>(Table2423256789101112131415162019[HARGA JUAL]*Table2423256789101112131415162019[TERJUAL])-(Table2423256789101112131415162019[HARGA POKOK]*Table2423256789101112131415162019[TERJUAL])</f>
        <v>18000</v>
      </c>
      <c r="J72" s="143">
        <f>(Table2423256789101112131415162019[HARGA JUAL]*Table2423256789101112131415162019[TERJUAL])</f>
        <v>54000</v>
      </c>
      <c r="K72" s="143">
        <f>Table2423256789101112131415162019[HARGA JUAL]*Table2423256789101112131415162019[SISA]</f>
        <v>90000</v>
      </c>
      <c r="L72" s="144">
        <f>Table2423256789101112131415162019[HARGA POKOK]*Table2423256789101112131415162019[STOK]</f>
        <v>96000</v>
      </c>
      <c r="M72" s="144">
        <f>Table2423256789101112131415162019[HARGA JUAL]*Table2423256789101112131415162019[STOK]</f>
        <v>144000</v>
      </c>
      <c r="N72" s="145"/>
    </row>
    <row r="73" spans="1:15" x14ac:dyDescent="0.25">
      <c r="A73" s="137">
        <v>66</v>
      </c>
      <c r="B73" s="138" t="s">
        <v>206</v>
      </c>
      <c r="C73" s="138" t="s">
        <v>208</v>
      </c>
      <c r="D73" s="140">
        <v>21000</v>
      </c>
      <c r="E73" s="140">
        <v>32000</v>
      </c>
      <c r="F73" s="141">
        <v>9</v>
      </c>
      <c r="G73" s="142"/>
      <c r="H73" s="141">
        <f>(Table2423256789101112131415162019[[#This Row],[STOK]]-Table2423256789101112131415162019[[#This Row],[TERJUAL]])</f>
        <v>9</v>
      </c>
      <c r="I73" s="143">
        <f>(Table2423256789101112131415162019[HARGA JUAL]*Table2423256789101112131415162019[TERJUAL])-(Table2423256789101112131415162019[HARGA POKOK]*Table2423256789101112131415162019[TERJUAL])</f>
        <v>0</v>
      </c>
      <c r="J73" s="143">
        <f>(Table2423256789101112131415162019[HARGA JUAL]*Table2423256789101112131415162019[TERJUAL])</f>
        <v>0</v>
      </c>
      <c r="K73" s="143">
        <f>Table2423256789101112131415162019[HARGA JUAL]*Table2423256789101112131415162019[SISA]</f>
        <v>288000</v>
      </c>
      <c r="L73" s="144">
        <f>Table2423256789101112131415162019[HARGA POKOK]*Table2423256789101112131415162019[STOK]</f>
        <v>189000</v>
      </c>
      <c r="M73" s="144">
        <f>Table2423256789101112131415162019[HARGA JUAL]*Table2423256789101112131415162019[STOK]</f>
        <v>288000</v>
      </c>
      <c r="N73" s="145"/>
    </row>
    <row r="74" spans="1:15" x14ac:dyDescent="0.25">
      <c r="A74" s="137">
        <v>67</v>
      </c>
      <c r="B74" s="138" t="s">
        <v>209</v>
      </c>
      <c r="C74" s="138" t="s">
        <v>210</v>
      </c>
      <c r="D74" s="140">
        <v>20000</v>
      </c>
      <c r="E74" s="140">
        <v>40000</v>
      </c>
      <c r="F74" s="141">
        <v>2</v>
      </c>
      <c r="G74" s="142"/>
      <c r="H74" s="141">
        <f>(Table2423256789101112131415162019[[#This Row],[STOK]]-Table2423256789101112131415162019[[#This Row],[TERJUAL]])</f>
        <v>2</v>
      </c>
      <c r="I74" s="143">
        <f>(Table2423256789101112131415162019[HARGA JUAL]*Table2423256789101112131415162019[TERJUAL])-(Table2423256789101112131415162019[HARGA POKOK]*Table2423256789101112131415162019[TERJUAL])</f>
        <v>0</v>
      </c>
      <c r="J74" s="143">
        <f>(Table2423256789101112131415162019[HARGA JUAL]*Table2423256789101112131415162019[TERJUAL])</f>
        <v>0</v>
      </c>
      <c r="K74" s="143">
        <f>Table2423256789101112131415162019[HARGA JUAL]*Table2423256789101112131415162019[SISA]</f>
        <v>80000</v>
      </c>
      <c r="L74" s="144">
        <f>Table2423256789101112131415162019[HARGA POKOK]*Table2423256789101112131415162019[STOK]</f>
        <v>40000</v>
      </c>
      <c r="M74" s="144">
        <f>Table2423256789101112131415162019[HARGA JUAL]*Table2423256789101112131415162019[STOK]</f>
        <v>80000</v>
      </c>
      <c r="N74" s="145"/>
    </row>
    <row r="75" spans="1:15" x14ac:dyDescent="0.25">
      <c r="A75" s="137">
        <v>68</v>
      </c>
      <c r="B75" s="138" t="s">
        <v>209</v>
      </c>
      <c r="C75" s="138" t="s">
        <v>211</v>
      </c>
      <c r="D75" s="140">
        <v>26000</v>
      </c>
      <c r="E75" s="140">
        <v>45000</v>
      </c>
      <c r="F75" s="141">
        <v>3</v>
      </c>
      <c r="G75" s="142"/>
      <c r="H75" s="141">
        <f>(Table2423256789101112131415162019[[#This Row],[STOK]]-Table2423256789101112131415162019[[#This Row],[TERJUAL]])</f>
        <v>3</v>
      </c>
      <c r="I75" s="143">
        <f>(Table2423256789101112131415162019[HARGA JUAL]*Table2423256789101112131415162019[TERJUAL])-(Table2423256789101112131415162019[HARGA POKOK]*Table2423256789101112131415162019[TERJUAL])</f>
        <v>0</v>
      </c>
      <c r="J75" s="143">
        <f>(Table2423256789101112131415162019[HARGA JUAL]*Table2423256789101112131415162019[TERJUAL])</f>
        <v>0</v>
      </c>
      <c r="K75" s="143">
        <f>Table2423256789101112131415162019[HARGA JUAL]*Table2423256789101112131415162019[SISA]</f>
        <v>135000</v>
      </c>
      <c r="L75" s="144">
        <f>Table2423256789101112131415162019[HARGA POKOK]*Table2423256789101112131415162019[STOK]</f>
        <v>78000</v>
      </c>
      <c r="M75" s="144">
        <f>Table2423256789101112131415162019[HARGA JUAL]*Table2423256789101112131415162019[STOK]</f>
        <v>135000</v>
      </c>
      <c r="N75" s="145"/>
    </row>
    <row r="76" spans="1:15" x14ac:dyDescent="0.25">
      <c r="A76" s="137">
        <v>69</v>
      </c>
      <c r="B76" s="138" t="s">
        <v>212</v>
      </c>
      <c r="C76" s="138" t="s">
        <v>213</v>
      </c>
      <c r="D76" s="140">
        <v>600000</v>
      </c>
      <c r="E76" s="140">
        <v>800000</v>
      </c>
      <c r="F76" s="141">
        <v>1</v>
      </c>
      <c r="G76" s="142"/>
      <c r="H76" s="141">
        <f>(Table2423256789101112131415162019[[#This Row],[STOK]]-Table2423256789101112131415162019[[#This Row],[TERJUAL]])</f>
        <v>1</v>
      </c>
      <c r="I76" s="143">
        <f>(Table2423256789101112131415162019[HARGA JUAL]*Table2423256789101112131415162019[TERJUAL])-(Table2423256789101112131415162019[HARGA POKOK]*Table2423256789101112131415162019[TERJUAL])</f>
        <v>0</v>
      </c>
      <c r="J76" s="143">
        <f>(Table2423256789101112131415162019[HARGA JUAL]*Table2423256789101112131415162019[TERJUAL])</f>
        <v>0</v>
      </c>
      <c r="K76" s="143">
        <f>Table2423256789101112131415162019[HARGA JUAL]*Table2423256789101112131415162019[SISA]</f>
        <v>800000</v>
      </c>
      <c r="L76" s="144">
        <f>Table2423256789101112131415162019[HARGA POKOK]*Table2423256789101112131415162019[STOK]</f>
        <v>600000</v>
      </c>
      <c r="M76" s="144">
        <f>Table2423256789101112131415162019[HARGA JUAL]*Table2423256789101112131415162019[STOK]</f>
        <v>800000</v>
      </c>
      <c r="N76" s="145"/>
    </row>
    <row r="77" spans="1:15" x14ac:dyDescent="0.25">
      <c r="A77" s="192">
        <v>70</v>
      </c>
      <c r="B77" s="193" t="s">
        <v>194</v>
      </c>
      <c r="C77" s="193" t="s">
        <v>194</v>
      </c>
      <c r="D77" s="194">
        <v>30000</v>
      </c>
      <c r="E77" s="194">
        <v>40000</v>
      </c>
      <c r="F77" s="195">
        <v>9</v>
      </c>
      <c r="G77" s="196"/>
      <c r="H77" s="195">
        <f>(Table2423256789101112131415162019[[#This Row],[STOK]]-Table2423256789101112131415162019[[#This Row],[TERJUAL]])</f>
        <v>9</v>
      </c>
      <c r="I77" s="197">
        <f>(Table2423256789101112131415162019[HARGA JUAL]*Table2423256789101112131415162019[TERJUAL])-(Table2423256789101112131415162019[HARGA POKOK]*Table2423256789101112131415162019[TERJUAL])</f>
        <v>0</v>
      </c>
      <c r="J77" s="197">
        <f>(Table2423256789101112131415162019[HARGA JUAL]*Table2423256789101112131415162019[TERJUAL])</f>
        <v>0</v>
      </c>
      <c r="K77" s="197"/>
      <c r="L77" s="198"/>
      <c r="M77" s="198"/>
      <c r="N77" s="199"/>
    </row>
    <row r="78" spans="1:15" x14ac:dyDescent="0.25">
      <c r="A78" s="137">
        <v>71</v>
      </c>
      <c r="B78" s="146" t="s">
        <v>195</v>
      </c>
      <c r="C78" s="146" t="s">
        <v>195</v>
      </c>
      <c r="D78" s="147">
        <v>30000</v>
      </c>
      <c r="E78" s="147">
        <v>40000</v>
      </c>
      <c r="F78" s="148">
        <v>14</v>
      </c>
      <c r="G78" s="149"/>
      <c r="H78" s="148">
        <f>(Table2423256789101112131415162019[[#This Row],[STOK]]-Table2423256789101112131415162019[[#This Row],[TERJUAL]])</f>
        <v>14</v>
      </c>
      <c r="I78" s="150">
        <f>(Table2423256789101112131415162019[HARGA JUAL]*Table2423256789101112131415162019[TERJUAL])-(Table2423256789101112131415162019[HARGA POKOK]*Table2423256789101112131415162019[TERJUAL])</f>
        <v>0</v>
      </c>
      <c r="J78" s="150">
        <f>(Table2423256789101112131415162019[HARGA JUAL]*Table2423256789101112131415162019[TERJUAL])</f>
        <v>0</v>
      </c>
      <c r="K78" s="150">
        <f>Table2423256789101112131415162019[HARGA JUAL]*Table2423256789101112131415162019[SISA]</f>
        <v>560000</v>
      </c>
      <c r="L78" s="151">
        <f>Table2423256789101112131415162019[HARGA POKOK]*Table2423256789101112131415162019[STOK]</f>
        <v>420000</v>
      </c>
      <c r="M78" s="151">
        <f>Table2423256789101112131415162019[HARGA JUAL]*Table2423256789101112131415162019[STOK]</f>
        <v>560000</v>
      </c>
      <c r="N78" s="152"/>
    </row>
    <row r="79" spans="1:15" x14ac:dyDescent="0.25">
      <c r="A79" s="192">
        <v>72</v>
      </c>
      <c r="B79" s="193" t="s">
        <v>215</v>
      </c>
      <c r="C79" s="193" t="s">
        <v>215</v>
      </c>
      <c r="D79" s="194">
        <v>310000</v>
      </c>
      <c r="E79" s="194">
        <v>410000</v>
      </c>
      <c r="F79" s="195">
        <v>2</v>
      </c>
      <c r="G79" s="196">
        <v>1</v>
      </c>
      <c r="H79" s="195">
        <f>(Table2423256789101112131415162019[[#This Row],[STOK]]-Table2423256789101112131415162019[[#This Row],[TERJUAL]])</f>
        <v>1</v>
      </c>
      <c r="I79" s="197">
        <f>(Table2423256789101112131415162019[HARGA JUAL]*Table2423256789101112131415162019[TERJUAL])-(Table2423256789101112131415162019[HARGA POKOK]*Table2423256789101112131415162019[TERJUAL])</f>
        <v>100000</v>
      </c>
      <c r="J79" s="197">
        <f>(Table2423256789101112131415162019[HARGA JUAL]*Table2423256789101112131415162019[TERJUAL])</f>
        <v>410000</v>
      </c>
      <c r="K79" s="197">
        <f>Table2423256789101112131415162019[HARGA JUAL]*Table2423256789101112131415162019[SISA]</f>
        <v>410000</v>
      </c>
      <c r="L79" s="198">
        <f>Table2423256789101112131415162019[HARGA POKOK]*Table2423256789101112131415162019[STOK]</f>
        <v>620000</v>
      </c>
      <c r="M79" s="198">
        <f>Table2423256789101112131415162019[HARGA JUAL]*Table2423256789101112131415162019[STOK]</f>
        <v>820000</v>
      </c>
      <c r="N79" s="199"/>
    </row>
    <row r="80" spans="1:15" s="180" customFormat="1" x14ac:dyDescent="0.25">
      <c r="A80" s="137">
        <v>73</v>
      </c>
      <c r="B80" s="153" t="s">
        <v>212</v>
      </c>
      <c r="C80" s="153" t="s">
        <v>213</v>
      </c>
      <c r="D80" s="154">
        <v>6000</v>
      </c>
      <c r="E80" s="154">
        <v>8000</v>
      </c>
      <c r="F80" s="155"/>
      <c r="G80" s="178"/>
      <c r="H80" s="155">
        <f>(Table2423256789101112131415162019[[#This Row],[STOK]]-Table2423256789101112131415162019[[#This Row],[TERJUAL]])</f>
        <v>0</v>
      </c>
      <c r="I80" s="157">
        <f>(Table2423256789101112131415162019[HARGA JUAL]*Table2423256789101112131415162019[TERJUAL])-(Table2423256789101112131415162019[HARGA POKOK]*Table2423256789101112131415162019[TERJUAL])</f>
        <v>0</v>
      </c>
      <c r="J80" s="157">
        <f>(Table2423256789101112131415162019[HARGA JUAL]*Table2423256789101112131415162019[TERJUAL])</f>
        <v>0</v>
      </c>
      <c r="K80" s="157"/>
      <c r="L80" s="158"/>
      <c r="M80" s="158"/>
      <c r="N80" s="179"/>
      <c r="O80" s="201"/>
    </row>
    <row r="81" spans="1:15" s="180" customFormat="1" x14ac:dyDescent="0.25">
      <c r="A81" s="137">
        <v>74</v>
      </c>
      <c r="B81" s="153" t="s">
        <v>71</v>
      </c>
      <c r="C81" s="153" t="s">
        <v>194</v>
      </c>
      <c r="D81" s="154">
        <v>1200</v>
      </c>
      <c r="E81" s="154">
        <v>2000</v>
      </c>
      <c r="F81" s="155"/>
      <c r="G81" s="156"/>
      <c r="H81" s="155">
        <f>(Table2423256789101112131415162019[[#This Row],[STOK]]-Table2423256789101112131415162019[[#This Row],[TERJUAL]])</f>
        <v>0</v>
      </c>
      <c r="I81" s="157">
        <f>(Table2423256789101112131415162019[HARGA JUAL]*Table2423256789101112131415162019[TERJUAL])-(Table2423256789101112131415162019[HARGA POKOK]*Table2423256789101112131415162019[TERJUAL])</f>
        <v>0</v>
      </c>
      <c r="J81" s="157">
        <f>(Table2423256789101112131415162019[HARGA JUAL]*Table2423256789101112131415162019[TERJUAL])</f>
        <v>0</v>
      </c>
      <c r="K81" s="157"/>
      <c r="L81" s="158"/>
      <c r="M81" s="158"/>
      <c r="N81" s="179"/>
      <c r="O81" s="201"/>
    </row>
    <row r="82" spans="1:15" s="180" customFormat="1" x14ac:dyDescent="0.25">
      <c r="A82" s="137">
        <v>75</v>
      </c>
      <c r="B82" s="153" t="s">
        <v>71</v>
      </c>
      <c r="C82" s="153" t="s">
        <v>195</v>
      </c>
      <c r="D82" s="154">
        <v>700</v>
      </c>
      <c r="E82" s="154">
        <v>1500</v>
      </c>
      <c r="F82" s="155"/>
      <c r="G82" s="156"/>
      <c r="H82" s="155">
        <f>(Table2423256789101112131415162019[[#This Row],[STOK]]-Table2423256789101112131415162019[[#This Row],[TERJUAL]])</f>
        <v>0</v>
      </c>
      <c r="I82" s="157">
        <f>(Table2423256789101112131415162019[HARGA JUAL]*Table2423256789101112131415162019[TERJUAL])-(Table2423256789101112131415162019[HARGA POKOK]*Table2423256789101112131415162019[TERJUAL])</f>
        <v>0</v>
      </c>
      <c r="J82" s="157">
        <f>(Table2423256789101112131415162019[HARGA JUAL]*Table2423256789101112131415162019[TERJUAL])</f>
        <v>0</v>
      </c>
      <c r="K82" s="157"/>
      <c r="L82" s="158"/>
      <c r="M82" s="158"/>
      <c r="N82" s="179"/>
      <c r="O82" s="201"/>
    </row>
    <row r="83" spans="1:15" s="201" customFormat="1" x14ac:dyDescent="0.25">
      <c r="A83" s="261">
        <v>76</v>
      </c>
      <c r="B83" s="256" t="s">
        <v>68</v>
      </c>
      <c r="C83" s="256" t="s">
        <v>69</v>
      </c>
      <c r="D83" s="268">
        <v>8200</v>
      </c>
      <c r="E83" s="262">
        <v>11000</v>
      </c>
      <c r="F83" s="263"/>
      <c r="G83" s="269">
        <v>1067</v>
      </c>
      <c r="H83" s="263">
        <f>(Table2423256789101112131415162019[[#This Row],[STOK]]-Table2423256789101112131415162019[[#This Row],[TERJUAL]])</f>
        <v>-1067</v>
      </c>
      <c r="I83" s="265">
        <f>(Table2423256789101112131415162019[HARGA JUAL]*Table2423256789101112131415162019[TERJUAL])-(Table2423256789101112131415162019[HARGA POKOK]*Table2423256789101112131415162019[TERJUAL])</f>
        <v>2987600</v>
      </c>
      <c r="J83" s="265">
        <f>(Table2423256789101112131415162019[HARGA JUAL]*Table2423256789101112131415162019[TERJUAL])</f>
        <v>11737000</v>
      </c>
      <c r="K83" s="265"/>
      <c r="L83" s="266"/>
      <c r="M83" s="266"/>
      <c r="N83" s="267"/>
    </row>
    <row r="84" spans="1:15" s="180" customFormat="1" x14ac:dyDescent="0.25">
      <c r="A84" s="137">
        <v>77</v>
      </c>
      <c r="B84" s="153" t="s">
        <v>173</v>
      </c>
      <c r="C84" s="153" t="s">
        <v>174</v>
      </c>
      <c r="D84" s="159">
        <v>9040</v>
      </c>
      <c r="E84" s="154">
        <v>12000</v>
      </c>
      <c r="F84" s="155"/>
      <c r="G84" s="156"/>
      <c r="H84" s="155">
        <f>(Table2423256789101112131415162019[[#This Row],[STOK]]-Table2423256789101112131415162019[[#This Row],[TERJUAL]])</f>
        <v>0</v>
      </c>
      <c r="I84" s="157">
        <f>(Table2423256789101112131415162019[HARGA JUAL]*Table2423256789101112131415162019[TERJUAL])-(Table2423256789101112131415162019[HARGA POKOK]*Table2423256789101112131415162019[TERJUAL])</f>
        <v>0</v>
      </c>
      <c r="J84" s="157">
        <f>(Table2423256789101112131415162019[HARGA JUAL]*Table2423256789101112131415162019[TERJUAL])</f>
        <v>0</v>
      </c>
      <c r="K84" s="157"/>
      <c r="L84" s="158"/>
      <c r="M84" s="158"/>
      <c r="N84" s="179"/>
      <c r="O84" s="201"/>
    </row>
    <row r="85" spans="1:15" s="180" customFormat="1" x14ac:dyDescent="0.25">
      <c r="A85" s="137">
        <v>78</v>
      </c>
      <c r="B85" s="153" t="s">
        <v>146</v>
      </c>
      <c r="C85" s="153" t="s">
        <v>152</v>
      </c>
      <c r="D85" s="159">
        <v>6200</v>
      </c>
      <c r="E85" s="154">
        <v>10000</v>
      </c>
      <c r="F85" s="155"/>
      <c r="G85" s="160"/>
      <c r="H85" s="155">
        <f>(Table2423256789101112131415162019[[#This Row],[STOK]]-Table2423256789101112131415162019[[#This Row],[TERJUAL]])</f>
        <v>0</v>
      </c>
      <c r="I85" s="157">
        <f>(Table2423256789101112131415162019[HARGA JUAL]*Table2423256789101112131415162019[TERJUAL])-(Table2423256789101112131415162019[HARGA POKOK]*Table2423256789101112131415162019[TERJUAL])</f>
        <v>0</v>
      </c>
      <c r="J85" s="157">
        <f>(Table2423256789101112131415162019[HARGA JUAL]*Table2423256789101112131415162019[TERJUAL])</f>
        <v>0</v>
      </c>
      <c r="K85" s="157"/>
      <c r="L85" s="158"/>
      <c r="M85" s="158"/>
      <c r="N85" s="179"/>
      <c r="O85" s="201"/>
    </row>
    <row r="86" spans="1:15" s="180" customFormat="1" x14ac:dyDescent="0.25">
      <c r="A86" s="137">
        <v>79</v>
      </c>
      <c r="B86" s="153" t="s">
        <v>321</v>
      </c>
      <c r="C86" s="153" t="s">
        <v>269</v>
      </c>
      <c r="D86" s="159">
        <v>9700</v>
      </c>
      <c r="E86" s="154">
        <v>12000</v>
      </c>
      <c r="F86" s="155"/>
      <c r="G86" s="160"/>
      <c r="H86" s="155">
        <f>(Table2423256789101112131415162019[[#This Row],[STOK]]-Table2423256789101112131415162019[[#This Row],[TERJUAL]])</f>
        <v>0</v>
      </c>
      <c r="I86" s="157">
        <f>(Table2423256789101112131415162019[HARGA JUAL]*Table2423256789101112131415162019[TERJUAL])-(Table2423256789101112131415162019[HARGA POKOK]*Table2423256789101112131415162019[TERJUAL])</f>
        <v>0</v>
      </c>
      <c r="J86" s="157">
        <f>(Table2423256789101112131415162019[HARGA JUAL]*Table2423256789101112131415162019[TERJUAL])</f>
        <v>0</v>
      </c>
      <c r="K86" s="157"/>
      <c r="L86" s="158"/>
      <c r="M86" s="158"/>
      <c r="N86" s="179"/>
      <c r="O86" s="201"/>
    </row>
    <row r="87" spans="1:15" s="180" customFormat="1" x14ac:dyDescent="0.25">
      <c r="A87" s="137">
        <v>80</v>
      </c>
      <c r="B87" s="167" t="s">
        <v>31</v>
      </c>
      <c r="C87" s="167" t="s">
        <v>282</v>
      </c>
      <c r="D87" s="168">
        <v>3000</v>
      </c>
      <c r="E87" s="169">
        <v>5000</v>
      </c>
      <c r="F87" s="170"/>
      <c r="G87" s="171">
        <v>3</v>
      </c>
      <c r="H87" s="172">
        <f>(Table2423256789101112131415162019[[#This Row],[STOK]]-Table2423256789101112131415162019[[#This Row],[TERJUAL]])</f>
        <v>-3</v>
      </c>
      <c r="I87" s="173">
        <f>(Table2423256789101112131415162019[HARGA JUAL]*Table2423256789101112131415162019[TERJUAL])-(Table2423256789101112131415162019[HARGA POKOK]*Table2423256789101112131415162019[TERJUAL])</f>
        <v>6000</v>
      </c>
      <c r="J87" s="173">
        <f>(Table2423256789101112131415162019[HARGA JUAL]*Table2423256789101112131415162019[TERJUAL])</f>
        <v>15000</v>
      </c>
      <c r="K87" s="173"/>
      <c r="L87" s="174"/>
      <c r="M87" s="174"/>
      <c r="N87" s="181"/>
      <c r="O87" s="201"/>
    </row>
    <row r="88" spans="1:15" s="180" customFormat="1" x14ac:dyDescent="0.25">
      <c r="A88" s="255"/>
      <c r="B88" s="167" t="s">
        <v>31</v>
      </c>
      <c r="C88" s="167" t="s">
        <v>283</v>
      </c>
      <c r="D88" s="168">
        <v>3000</v>
      </c>
      <c r="E88" s="169">
        <v>5000</v>
      </c>
      <c r="F88" s="170"/>
      <c r="G88" s="171">
        <v>6</v>
      </c>
      <c r="H88" s="172">
        <f>(Table2423256789101112131415162019[[#This Row],[STOK]]-Table2423256789101112131415162019[[#This Row],[TERJUAL]])</f>
        <v>-6</v>
      </c>
      <c r="I88" s="173">
        <f>(Table2423256789101112131415162019[HARGA JUAL]*Table2423256789101112131415162019[TERJUAL])-(Table2423256789101112131415162019[HARGA POKOK]*Table2423256789101112131415162019[TERJUAL])</f>
        <v>12000</v>
      </c>
      <c r="J88" s="173">
        <f>(Table2423256789101112131415162019[HARGA JUAL]*Table2423256789101112131415162019[TERJUAL])</f>
        <v>30000</v>
      </c>
      <c r="K88" s="173"/>
      <c r="L88" s="174">
        <f>Table2423256789101112131415162019[HARGA POKOK]*Table2423256789101112131415162019[STOK]</f>
        <v>0</v>
      </c>
      <c r="M88" s="174">
        <f>Table2423256789101112131415162019[HARGA JUAL]*Table2423256789101112131415162019[STOK]</f>
        <v>0</v>
      </c>
      <c r="N88" s="181"/>
      <c r="O88" s="201"/>
    </row>
    <row r="89" spans="1:15" s="180" customFormat="1" x14ac:dyDescent="0.25">
      <c r="A89" s="255"/>
      <c r="B89" s="167" t="s">
        <v>31</v>
      </c>
      <c r="C89" s="167" t="s">
        <v>284</v>
      </c>
      <c r="D89" s="168">
        <v>3000</v>
      </c>
      <c r="E89" s="169">
        <v>5000</v>
      </c>
      <c r="F89" s="170"/>
      <c r="G89" s="171">
        <v>6</v>
      </c>
      <c r="H89" s="172">
        <f>(Table2423256789101112131415162019[[#This Row],[STOK]]-Table2423256789101112131415162019[[#This Row],[TERJUAL]])</f>
        <v>-6</v>
      </c>
      <c r="I89" s="173">
        <f>(Table2423256789101112131415162019[HARGA JUAL]*Table2423256789101112131415162019[TERJUAL])-(Table2423256789101112131415162019[HARGA POKOK]*Table2423256789101112131415162019[TERJUAL])</f>
        <v>12000</v>
      </c>
      <c r="J89" s="173">
        <f>(Table2423256789101112131415162019[HARGA JUAL]*Table2423256789101112131415162019[TERJUAL])</f>
        <v>30000</v>
      </c>
      <c r="K89" s="173"/>
      <c r="L89" s="174">
        <f>Table2423256789101112131415162019[HARGA POKOK]*Table2423256789101112131415162019[STOK]</f>
        <v>0</v>
      </c>
      <c r="M89" s="174">
        <f>Table2423256789101112131415162019[HARGA JUAL]*Table2423256789101112131415162019[STOK]</f>
        <v>0</v>
      </c>
      <c r="N89" s="181"/>
      <c r="O89" s="201"/>
    </row>
    <row r="90" spans="1:15" s="180" customFormat="1" x14ac:dyDescent="0.25">
      <c r="A90" s="255"/>
      <c r="B90" s="167" t="s">
        <v>31</v>
      </c>
      <c r="C90" s="167" t="s">
        <v>307</v>
      </c>
      <c r="D90" s="168">
        <v>2000</v>
      </c>
      <c r="E90" s="169">
        <v>5000</v>
      </c>
      <c r="F90" s="170"/>
      <c r="G90" s="171">
        <v>2</v>
      </c>
      <c r="H90" s="172">
        <f>(Table2423256789101112131415162019[[#This Row],[STOK]]-Table2423256789101112131415162019[[#This Row],[TERJUAL]])</f>
        <v>-2</v>
      </c>
      <c r="I90" s="173">
        <f>(Table2423256789101112131415162019[HARGA JUAL]*Table2423256789101112131415162019[TERJUAL])-(Table2423256789101112131415162019[HARGA POKOK]*Table2423256789101112131415162019[TERJUAL])</f>
        <v>6000</v>
      </c>
      <c r="J90" s="173">
        <f>(Table2423256789101112131415162019[HARGA JUAL]*Table2423256789101112131415162019[TERJUAL])</f>
        <v>10000</v>
      </c>
      <c r="K90" s="173">
        <f>Table2423256789101112131415162019[HARGA JUAL]*Table2423256789101112131415162019[SISA]</f>
        <v>-10000</v>
      </c>
      <c r="L90" s="174">
        <f>Table2423256789101112131415162019[HARGA POKOK]*Table2423256789101112131415162019[STOK]</f>
        <v>0</v>
      </c>
      <c r="M90" s="174">
        <f>Table2423256789101112131415162019[HARGA JUAL]*Table2423256789101112131415162019[STOK]</f>
        <v>0</v>
      </c>
      <c r="N90" s="181"/>
      <c r="O90" s="201"/>
    </row>
    <row r="91" spans="1:15" s="180" customFormat="1" x14ac:dyDescent="0.25">
      <c r="A91" s="255"/>
      <c r="B91" s="167" t="s">
        <v>308</v>
      </c>
      <c r="C91" s="167" t="s">
        <v>205</v>
      </c>
      <c r="D91" s="168">
        <v>45000</v>
      </c>
      <c r="E91" s="169">
        <v>50000</v>
      </c>
      <c r="F91" s="170">
        <v>6</v>
      </c>
      <c r="G91" s="171">
        <v>6</v>
      </c>
      <c r="H91" s="172">
        <f>(Table2423256789101112131415162019[[#This Row],[STOK]]-Table2423256789101112131415162019[[#This Row],[TERJUAL]])</f>
        <v>0</v>
      </c>
      <c r="I91" s="173">
        <f>(Table2423256789101112131415162019[HARGA JUAL]*Table2423256789101112131415162019[TERJUAL])-(Table2423256789101112131415162019[HARGA POKOK]*Table2423256789101112131415162019[TERJUAL])</f>
        <v>30000</v>
      </c>
      <c r="J91" s="173">
        <f>(Table2423256789101112131415162019[HARGA JUAL]*Table2423256789101112131415162019[TERJUAL])</f>
        <v>300000</v>
      </c>
      <c r="K91" s="173">
        <f>Table2423256789101112131415162019[HARGA JUAL]*Table2423256789101112131415162019[SISA]</f>
        <v>0</v>
      </c>
      <c r="L91" s="174">
        <f>Table2423256789101112131415162019[HARGA POKOK]*Table2423256789101112131415162019[STOK]</f>
        <v>270000</v>
      </c>
      <c r="M91" s="174">
        <f>Table2423256789101112131415162019[HARGA JUAL]*Table2423256789101112131415162019[STOK]</f>
        <v>300000</v>
      </c>
      <c r="N91" s="181"/>
      <c r="O91" s="201"/>
    </row>
    <row r="92" spans="1:15" s="180" customFormat="1" x14ac:dyDescent="0.25">
      <c r="A92" s="255"/>
      <c r="B92" s="167" t="s">
        <v>331</v>
      </c>
      <c r="C92" s="167" t="s">
        <v>332</v>
      </c>
      <c r="D92" s="168">
        <v>85000</v>
      </c>
      <c r="E92" s="169">
        <v>115000</v>
      </c>
      <c r="F92" s="170">
        <v>30</v>
      </c>
      <c r="G92" s="171">
        <v>13</v>
      </c>
      <c r="H92" s="172">
        <f>(Table2423256789101112131415162019[[#This Row],[STOK]]-Table2423256789101112131415162019[[#This Row],[TERJUAL]])</f>
        <v>17</v>
      </c>
      <c r="I92" s="173">
        <f>(Table2423256789101112131415162019[HARGA JUAL]*Table2423256789101112131415162019[TERJUAL])-(Table2423256789101112131415162019[HARGA POKOK]*Table2423256789101112131415162019[TERJUAL])</f>
        <v>390000</v>
      </c>
      <c r="J92" s="173">
        <f>(Table2423256789101112131415162019[HARGA JUAL]*Table2423256789101112131415162019[TERJUAL])</f>
        <v>1495000</v>
      </c>
      <c r="K92" s="173">
        <f>Table2423256789101112131415162019[HARGA JUAL]*Table2423256789101112131415162019[SISA]</f>
        <v>1955000</v>
      </c>
      <c r="L92" s="174">
        <f>Table2423256789101112131415162019[HARGA POKOK]*Table2423256789101112131415162019[STOK]</f>
        <v>2550000</v>
      </c>
      <c r="M92" s="174">
        <f>Table2423256789101112131415162019[HARGA JUAL]*Table2423256789101112131415162019[STOK]</f>
        <v>3450000</v>
      </c>
      <c r="N92" s="181"/>
      <c r="O92" s="201"/>
    </row>
    <row r="93" spans="1:15" ht="18.75" x14ac:dyDescent="0.25">
      <c r="A93" s="404" t="s">
        <v>8</v>
      </c>
      <c r="B93" s="404"/>
      <c r="C93" s="404"/>
      <c r="D93" s="404"/>
      <c r="E93" s="404"/>
      <c r="F93" s="39"/>
      <c r="G93" s="39"/>
      <c r="H93" s="40"/>
      <c r="I93" s="175">
        <f>SUM(I5:I92)</f>
        <v>14285200</v>
      </c>
      <c r="J93" s="176">
        <f>SUM(J5:J92)</f>
        <v>67348000</v>
      </c>
      <c r="K93" s="41">
        <f>SUBTOTAL(109,Table2423256789101112131415162019[TOTAL HARGA SISA BARANG])</f>
        <v>119232000</v>
      </c>
      <c r="L93" s="177">
        <f>SUM(L5:L92)</f>
        <v>136590600</v>
      </c>
      <c r="M93" s="42">
        <f>SUM(M5:M70)</f>
        <v>167726000</v>
      </c>
      <c r="N93" s="145"/>
    </row>
    <row r="94" spans="1:15" x14ac:dyDescent="0.25">
      <c r="B94" s="1"/>
      <c r="C94" s="3"/>
      <c r="G94" s="1"/>
      <c r="H94" s="11"/>
      <c r="I94" s="6"/>
      <c r="J94" s="6"/>
      <c r="K94" s="6"/>
      <c r="L94" s="1"/>
      <c r="M94" s="1"/>
    </row>
    <row r="95" spans="1:15" x14ac:dyDescent="0.25">
      <c r="A95" s="165"/>
      <c r="B95" s="28"/>
      <c r="C95" s="28"/>
      <c r="E95" s="386" t="s">
        <v>334</v>
      </c>
      <c r="F95" s="386"/>
      <c r="G95" s="386"/>
      <c r="H95" s="386"/>
      <c r="I95" s="386"/>
      <c r="J95" s="386"/>
      <c r="K95" s="309"/>
      <c r="L95" s="1"/>
      <c r="M95" s="1"/>
    </row>
    <row r="96" spans="1:15" x14ac:dyDescent="0.25">
      <c r="A96" s="165" t="s">
        <v>198</v>
      </c>
      <c r="B96" s="28"/>
      <c r="C96" s="28"/>
      <c r="E96" s="161"/>
      <c r="F96" s="161"/>
      <c r="G96" s="387"/>
      <c r="H96" s="387"/>
      <c r="I96" s="28"/>
      <c r="J96" s="28"/>
      <c r="K96" s="28"/>
      <c r="L96" s="7"/>
    </row>
    <row r="97" spans="1:13" x14ac:dyDescent="0.25">
      <c r="A97" s="165" t="s">
        <v>199</v>
      </c>
      <c r="B97" s="1"/>
      <c r="C97" s="3"/>
      <c r="E97" s="161"/>
      <c r="F97" s="161"/>
      <c r="G97" s="94"/>
      <c r="H97" s="94"/>
      <c r="I97" s="28"/>
      <c r="J97" s="28"/>
      <c r="K97" s="28"/>
      <c r="L97" s="28"/>
    </row>
    <row r="98" spans="1:13" x14ac:dyDescent="0.25">
      <c r="A98" s="165" t="s">
        <v>200</v>
      </c>
      <c r="E98" s="43" t="s">
        <v>82</v>
      </c>
      <c r="F98" s="44"/>
      <c r="G98" s="390">
        <f>SUBTOTAL(109,Table2423256789101112131415162019[TOTAL H. B. LAKU TERJUAL])</f>
        <v>67348000</v>
      </c>
      <c r="H98" s="390"/>
      <c r="I98" s="390"/>
      <c r="J98" s="43"/>
      <c r="K98" s="7"/>
      <c r="L98" s="27"/>
      <c r="M98" s="1"/>
    </row>
    <row r="99" spans="1:13" x14ac:dyDescent="0.25">
      <c r="A99" s="165" t="s">
        <v>335</v>
      </c>
      <c r="C99" s="1"/>
      <c r="E99" s="43"/>
      <c r="F99" s="44"/>
      <c r="G99" s="308"/>
      <c r="H99" s="308"/>
      <c r="I99" s="308"/>
      <c r="J99" s="43"/>
      <c r="K99" s="7"/>
      <c r="L99" s="27"/>
      <c r="M99" s="1"/>
    </row>
    <row r="100" spans="1:13" x14ac:dyDescent="0.25">
      <c r="A100" s="407" t="s">
        <v>0</v>
      </c>
      <c r="B100" s="406" t="s">
        <v>336</v>
      </c>
      <c r="C100" s="406"/>
      <c r="E100" s="43" t="s">
        <v>83</v>
      </c>
      <c r="F100" s="45" t="s">
        <v>84</v>
      </c>
      <c r="G100" s="391">
        <v>460000</v>
      </c>
      <c r="H100" s="391"/>
      <c r="I100" s="391"/>
      <c r="J100" s="43"/>
      <c r="K100" s="7"/>
      <c r="L100" s="27"/>
      <c r="M100" s="1"/>
    </row>
    <row r="101" spans="1:13" x14ac:dyDescent="0.25">
      <c r="A101" s="407"/>
      <c r="B101" s="225" t="s">
        <v>276</v>
      </c>
      <c r="C101" s="228" t="s">
        <v>277</v>
      </c>
      <c r="E101" s="43" t="s">
        <v>8</v>
      </c>
      <c r="F101" s="43"/>
      <c r="G101" s="392">
        <f>(G98-G100)</f>
        <v>66888000</v>
      </c>
      <c r="H101" s="392"/>
      <c r="I101" s="392"/>
      <c r="J101" s="43"/>
      <c r="K101" s="7"/>
      <c r="L101" s="27"/>
      <c r="M101" s="1"/>
    </row>
    <row r="102" spans="1:13" x14ac:dyDescent="0.25">
      <c r="A102" s="145"/>
      <c r="B102" s="228">
        <v>57</v>
      </c>
      <c r="C102" s="228">
        <v>21</v>
      </c>
      <c r="M102" s="1"/>
    </row>
    <row r="103" spans="1:13" x14ac:dyDescent="0.25">
      <c r="A103" s="7"/>
      <c r="B103" s="310"/>
      <c r="C103" s="310"/>
      <c r="M103" s="1"/>
    </row>
    <row r="104" spans="1:13" x14ac:dyDescent="0.25">
      <c r="A104" s="7"/>
      <c r="B104" s="310"/>
      <c r="C104" s="310"/>
      <c r="M104" s="1"/>
    </row>
    <row r="105" spans="1:13" x14ac:dyDescent="0.25">
      <c r="A105" s="7"/>
      <c r="B105" s="310"/>
      <c r="C105" s="310"/>
      <c r="M105" s="1"/>
    </row>
    <row r="106" spans="1:13" x14ac:dyDescent="0.25">
      <c r="A106" s="7"/>
      <c r="B106" s="310"/>
      <c r="C106" s="310"/>
      <c r="M106" s="1"/>
    </row>
    <row r="107" spans="1:13" x14ac:dyDescent="0.25">
      <c r="A107" s="7"/>
      <c r="B107" s="310"/>
      <c r="C107" s="310"/>
      <c r="M107" s="1"/>
    </row>
    <row r="108" spans="1:13" x14ac:dyDescent="0.25">
      <c r="A108" s="7"/>
      <c r="B108" s="310"/>
      <c r="C108" s="310"/>
      <c r="M108" s="1"/>
    </row>
    <row r="109" spans="1:13" x14ac:dyDescent="0.25">
      <c r="A109" s="7"/>
      <c r="B109" s="310"/>
      <c r="C109" s="310"/>
      <c r="M109" s="1"/>
    </row>
    <row r="110" spans="1:13" x14ac:dyDescent="0.25">
      <c r="A110" s="7"/>
      <c r="B110" s="310"/>
      <c r="C110" s="310"/>
      <c r="M110" s="1"/>
    </row>
    <row r="111" spans="1:13" x14ac:dyDescent="0.25">
      <c r="A111" s="7"/>
      <c r="B111" s="310"/>
      <c r="C111" s="310"/>
      <c r="M111" s="1"/>
    </row>
    <row r="112" spans="1:13" x14ac:dyDescent="0.25">
      <c r="A112" s="7"/>
      <c r="B112" s="310"/>
      <c r="C112" s="310"/>
      <c r="M112" s="1"/>
    </row>
    <row r="113" spans="1:13" x14ac:dyDescent="0.25">
      <c r="A113" s="7"/>
      <c r="B113" s="310"/>
      <c r="C113" s="310"/>
      <c r="M113" s="1"/>
    </row>
    <row r="114" spans="1:13" x14ac:dyDescent="0.25">
      <c r="A114" s="7"/>
      <c r="B114" s="310"/>
      <c r="C114" s="310"/>
      <c r="M114" s="1"/>
    </row>
    <row r="115" spans="1:13" x14ac:dyDescent="0.25">
      <c r="A115" s="7"/>
      <c r="B115" s="310"/>
      <c r="C115" s="310"/>
      <c r="M115" s="1"/>
    </row>
    <row r="116" spans="1:13" x14ac:dyDescent="0.25">
      <c r="A116" s="7"/>
      <c r="B116" s="310"/>
      <c r="C116" s="310"/>
      <c r="M116" s="1"/>
    </row>
    <row r="117" spans="1:13" x14ac:dyDescent="0.25">
      <c r="A117" s="7"/>
      <c r="B117" s="310"/>
      <c r="C117" s="310"/>
      <c r="M117" s="1"/>
    </row>
    <row r="118" spans="1:13" x14ac:dyDescent="0.25">
      <c r="A118" s="7"/>
      <c r="B118" s="310"/>
      <c r="C118" s="310"/>
      <c r="M118" s="1"/>
    </row>
    <row r="119" spans="1:13" x14ac:dyDescent="0.25">
      <c r="A119" s="7"/>
      <c r="B119" s="310"/>
      <c r="C119" s="310"/>
      <c r="M119" s="1"/>
    </row>
    <row r="120" spans="1:13" x14ac:dyDescent="0.25">
      <c r="A120" s="7"/>
      <c r="B120" s="310"/>
      <c r="C120" s="310"/>
      <c r="M120" s="1"/>
    </row>
    <row r="121" spans="1:13" x14ac:dyDescent="0.25">
      <c r="A121" s="7"/>
      <c r="B121" s="310"/>
      <c r="C121" s="310"/>
      <c r="M121" s="1"/>
    </row>
    <row r="122" spans="1:13" x14ac:dyDescent="0.25">
      <c r="A122" s="7"/>
      <c r="B122" s="310"/>
      <c r="C122" s="310"/>
      <c r="M122" s="1"/>
    </row>
    <row r="123" spans="1:13" x14ac:dyDescent="0.25">
      <c r="A123" s="7"/>
      <c r="B123" s="310"/>
      <c r="C123" s="310"/>
      <c r="M123" s="1"/>
    </row>
    <row r="124" spans="1:13" x14ac:dyDescent="0.25">
      <c r="A124" s="7"/>
      <c r="B124" s="310"/>
      <c r="C124" s="310"/>
      <c r="M124" s="1"/>
    </row>
    <row r="125" spans="1:13" x14ac:dyDescent="0.25">
      <c r="A125" s="7"/>
      <c r="B125" s="310"/>
      <c r="C125" s="310"/>
      <c r="M125" s="1"/>
    </row>
    <row r="126" spans="1:13" x14ac:dyDescent="0.25">
      <c r="A126" s="7"/>
      <c r="B126" s="310"/>
      <c r="C126" s="310"/>
      <c r="M126" s="1"/>
    </row>
    <row r="127" spans="1:13" x14ac:dyDescent="0.25">
      <c r="A127" s="7"/>
      <c r="B127" s="310"/>
      <c r="C127" s="310"/>
      <c r="M127" s="1"/>
    </row>
    <row r="128" spans="1:13" x14ac:dyDescent="0.25">
      <c r="A128" s="7"/>
      <c r="B128" s="310"/>
      <c r="C128" s="310"/>
      <c r="M128" s="1"/>
    </row>
    <row r="129" spans="1:13" x14ac:dyDescent="0.25">
      <c r="A129" s="7"/>
      <c r="B129" s="310"/>
      <c r="C129" s="310"/>
      <c r="M129" s="1"/>
    </row>
    <row r="130" spans="1:13" x14ac:dyDescent="0.25">
      <c r="A130" s="7"/>
      <c r="B130" s="310"/>
      <c r="C130" s="310"/>
      <c r="M130" s="1"/>
    </row>
    <row r="131" spans="1:13" x14ac:dyDescent="0.25">
      <c r="A131" s="7"/>
      <c r="B131" s="310"/>
      <c r="C131" s="310"/>
      <c r="M131" s="1"/>
    </row>
    <row r="132" spans="1:13" ht="18.75" x14ac:dyDescent="0.3">
      <c r="A132" s="360" t="s">
        <v>99</v>
      </c>
      <c r="B132" s="360"/>
      <c r="C132" s="360"/>
      <c r="D132" s="360"/>
    </row>
    <row r="133" spans="1:13" ht="18.75" x14ac:dyDescent="0.3">
      <c r="A133" s="360" t="s">
        <v>306</v>
      </c>
      <c r="B133" s="360"/>
      <c r="C133" s="360"/>
      <c r="D133" s="360"/>
    </row>
    <row r="134" spans="1:13" ht="18.75" x14ac:dyDescent="0.3">
      <c r="A134" s="360" t="s">
        <v>75</v>
      </c>
      <c r="B134" s="360"/>
      <c r="C134" s="360"/>
      <c r="D134" s="360"/>
    </row>
    <row r="135" spans="1:13" ht="15.75" x14ac:dyDescent="0.25">
      <c r="A135" s="356" t="s">
        <v>111</v>
      </c>
      <c r="B135" s="357"/>
      <c r="C135" s="356" t="s">
        <v>77</v>
      </c>
      <c r="D135" s="357"/>
      <c r="E135" s="7"/>
    </row>
    <row r="136" spans="1:13" ht="15.75" x14ac:dyDescent="0.25">
      <c r="A136" s="306" t="s">
        <v>103</v>
      </c>
      <c r="B136" s="307"/>
      <c r="C136" s="46"/>
      <c r="D136" s="203"/>
      <c r="E136" s="218"/>
    </row>
    <row r="137" spans="1:13" ht="15.75" x14ac:dyDescent="0.25">
      <c r="A137" s="354" t="s">
        <v>102</v>
      </c>
      <c r="B137" s="355"/>
      <c r="C137" s="46">
        <v>66888000</v>
      </c>
      <c r="D137" s="204"/>
      <c r="E137" s="219"/>
    </row>
    <row r="138" spans="1:13" ht="15.75" x14ac:dyDescent="0.25">
      <c r="A138" s="356" t="s">
        <v>104</v>
      </c>
      <c r="B138" s="357"/>
      <c r="C138" s="46"/>
      <c r="D138" s="203">
        <v>66888000</v>
      </c>
      <c r="E138" s="219"/>
    </row>
    <row r="139" spans="1:13" ht="15.75" x14ac:dyDescent="0.25">
      <c r="A139" s="350" t="s">
        <v>106</v>
      </c>
      <c r="B139" s="351"/>
      <c r="C139" s="46"/>
      <c r="D139" s="204">
        <v>52602800</v>
      </c>
      <c r="E139" s="219"/>
      <c r="F139" s="220"/>
      <c r="G139" s="220"/>
      <c r="H139" s="221"/>
      <c r="I139" s="222"/>
    </row>
    <row r="140" spans="1:13" ht="15.75" x14ac:dyDescent="0.25">
      <c r="A140" s="400" t="s">
        <v>162</v>
      </c>
      <c r="B140" s="401"/>
      <c r="C140" s="49"/>
      <c r="D140" s="205">
        <v>14285200</v>
      </c>
      <c r="F140" s="7"/>
      <c r="G140" s="7"/>
      <c r="I140" s="186"/>
      <c r="L140" s="183"/>
    </row>
    <row r="141" spans="1:13" ht="15.75" x14ac:dyDescent="0.25">
      <c r="A141" s="346" t="s">
        <v>105</v>
      </c>
      <c r="B141" s="347"/>
      <c r="C141" s="46"/>
      <c r="D141" s="207"/>
      <c r="I141" s="186"/>
      <c r="L141" s="183"/>
    </row>
    <row r="142" spans="1:13" ht="15.75" x14ac:dyDescent="0.25">
      <c r="A142" s="348" t="s">
        <v>97</v>
      </c>
      <c r="B142" s="349"/>
      <c r="C142" s="46">
        <v>2000000</v>
      </c>
      <c r="D142" s="204"/>
      <c r="I142" s="187"/>
      <c r="L142" s="183"/>
    </row>
    <row r="143" spans="1:13" ht="15.75" x14ac:dyDescent="0.25">
      <c r="A143" s="350" t="s">
        <v>98</v>
      </c>
      <c r="B143" s="351"/>
      <c r="C143" s="46">
        <v>510000</v>
      </c>
      <c r="D143" s="204"/>
      <c r="L143" s="183"/>
    </row>
    <row r="144" spans="1:13" ht="15.75" x14ac:dyDescent="0.25">
      <c r="A144" s="350" t="s">
        <v>287</v>
      </c>
      <c r="B144" s="351"/>
      <c r="C144" s="46">
        <v>100000</v>
      </c>
      <c r="D144" s="204"/>
      <c r="L144" s="183"/>
    </row>
    <row r="145" spans="1:9" ht="15.75" x14ac:dyDescent="0.25">
      <c r="A145" s="350" t="s">
        <v>339</v>
      </c>
      <c r="B145" s="410"/>
      <c r="C145" s="46">
        <v>330000</v>
      </c>
      <c r="D145" s="204"/>
      <c r="I145" s="183"/>
    </row>
    <row r="146" spans="1:9" ht="15.75" x14ac:dyDescent="0.25">
      <c r="A146" s="350" t="s">
        <v>338</v>
      </c>
      <c r="B146" s="351"/>
      <c r="C146" s="46">
        <v>60000</v>
      </c>
      <c r="D146" s="204"/>
      <c r="I146" s="183"/>
    </row>
    <row r="147" spans="1:9" ht="15.75" x14ac:dyDescent="0.25">
      <c r="A147" s="350" t="s">
        <v>340</v>
      </c>
      <c r="B147" s="351"/>
      <c r="C147" s="46">
        <v>300000</v>
      </c>
      <c r="D147" s="204"/>
      <c r="I147" s="183"/>
    </row>
    <row r="148" spans="1:9" ht="15.75" x14ac:dyDescent="0.25">
      <c r="A148" s="350" t="s">
        <v>337</v>
      </c>
      <c r="B148" s="351"/>
      <c r="C148" s="46">
        <v>200000</v>
      </c>
      <c r="D148" s="204"/>
      <c r="I148" s="183"/>
    </row>
    <row r="149" spans="1:9" ht="15.75" x14ac:dyDescent="0.25">
      <c r="A149" s="408" t="s">
        <v>288</v>
      </c>
      <c r="B149" s="409"/>
      <c r="C149" s="114">
        <v>309000</v>
      </c>
      <c r="D149" s="208"/>
    </row>
    <row r="150" spans="1:9" ht="15.75" x14ac:dyDescent="0.25">
      <c r="A150" s="352" t="s">
        <v>107</v>
      </c>
      <c r="B150" s="353"/>
      <c r="C150" s="51" t="s">
        <v>117</v>
      </c>
      <c r="D150" s="209">
        <f>SUM(C142:C149)</f>
        <v>3809000</v>
      </c>
    </row>
    <row r="151" spans="1:9" ht="15.75" x14ac:dyDescent="0.25">
      <c r="A151" s="344" t="s">
        <v>108</v>
      </c>
      <c r="B151" s="345"/>
      <c r="C151" s="51"/>
      <c r="D151" s="204"/>
    </row>
    <row r="152" spans="1:9" ht="15.75" x14ac:dyDescent="0.25">
      <c r="A152" s="346" t="s">
        <v>109</v>
      </c>
      <c r="B152" s="347"/>
      <c r="C152" s="48"/>
      <c r="D152" s="205">
        <f>(D140-D150)</f>
        <v>10476200</v>
      </c>
    </row>
    <row r="154" spans="1:9" x14ac:dyDescent="0.25">
      <c r="A154" s="228" t="s">
        <v>0</v>
      </c>
      <c r="B154" s="228" t="s">
        <v>248</v>
      </c>
      <c r="C154" s="228" t="s">
        <v>77</v>
      </c>
      <c r="D154" s="7"/>
    </row>
    <row r="155" spans="1:9" x14ac:dyDescent="0.25">
      <c r="A155" s="228">
        <v>1</v>
      </c>
      <c r="B155" s="225" t="s">
        <v>245</v>
      </c>
      <c r="C155" s="226">
        <v>9800000</v>
      </c>
      <c r="D155" s="7"/>
    </row>
    <row r="156" spans="1:9" x14ac:dyDescent="0.25">
      <c r="A156" s="228">
        <v>2</v>
      </c>
      <c r="B156" s="225" t="s">
        <v>273</v>
      </c>
      <c r="C156" s="226">
        <v>300000</v>
      </c>
      <c r="D156" s="7"/>
    </row>
    <row r="157" spans="1:9" x14ac:dyDescent="0.25">
      <c r="A157" s="228">
        <v>4</v>
      </c>
      <c r="B157" s="225" t="s">
        <v>246</v>
      </c>
      <c r="C157" s="226">
        <v>1215000</v>
      </c>
      <c r="D157" s="7"/>
    </row>
    <row r="158" spans="1:9" x14ac:dyDescent="0.25">
      <c r="A158" s="228">
        <v>5</v>
      </c>
      <c r="B158" s="227" t="s">
        <v>8</v>
      </c>
      <c r="C158" s="226">
        <f>SUM(C155:C157)</f>
        <v>11315000</v>
      </c>
      <c r="D158" s="7"/>
    </row>
    <row r="159" spans="1:9" x14ac:dyDescent="0.25">
      <c r="A159" s="7"/>
      <c r="B159" s="7"/>
      <c r="C159" s="7"/>
      <c r="D159" s="7"/>
    </row>
    <row r="160" spans="1:9" x14ac:dyDescent="0.25">
      <c r="A160" s="228" t="s">
        <v>0</v>
      </c>
      <c r="B160" s="228" t="s">
        <v>248</v>
      </c>
      <c r="C160" s="228" t="s">
        <v>77</v>
      </c>
      <c r="D160" s="7"/>
    </row>
    <row r="161" spans="1:3" x14ac:dyDescent="0.25">
      <c r="A161" s="228">
        <v>1</v>
      </c>
      <c r="B161" s="225" t="s">
        <v>328</v>
      </c>
      <c r="C161" s="226">
        <v>146710000</v>
      </c>
    </row>
    <row r="162" spans="1:3" x14ac:dyDescent="0.25">
      <c r="A162" s="228">
        <v>2</v>
      </c>
      <c r="B162" s="225" t="s">
        <v>326</v>
      </c>
      <c r="C162" s="226">
        <v>146000000</v>
      </c>
    </row>
    <row r="163" spans="1:3" x14ac:dyDescent="0.25">
      <c r="A163" s="228">
        <v>4</v>
      </c>
      <c r="B163" s="225" t="s">
        <v>341</v>
      </c>
      <c r="C163" s="226"/>
    </row>
    <row r="164" spans="1:3" x14ac:dyDescent="0.25">
      <c r="A164" s="228">
        <v>5</v>
      </c>
      <c r="B164" s="227" t="s">
        <v>342</v>
      </c>
      <c r="C164" s="226"/>
    </row>
  </sheetData>
  <mergeCells count="31">
    <mergeCell ref="A148:B148"/>
    <mergeCell ref="A149:B149"/>
    <mergeCell ref="A150:B150"/>
    <mergeCell ref="A151:B151"/>
    <mergeCell ref="A152:B152"/>
    <mergeCell ref="A146:B146"/>
    <mergeCell ref="A147:B147"/>
    <mergeCell ref="A140:B140"/>
    <mergeCell ref="A141:B141"/>
    <mergeCell ref="A142:B142"/>
    <mergeCell ref="A143:B143"/>
    <mergeCell ref="A144:B144"/>
    <mergeCell ref="A145:B145"/>
    <mergeCell ref="A139:B139"/>
    <mergeCell ref="A100:A101"/>
    <mergeCell ref="B100:C100"/>
    <mergeCell ref="G100:I100"/>
    <mergeCell ref="G101:I101"/>
    <mergeCell ref="A132:D132"/>
    <mergeCell ref="A133:D133"/>
    <mergeCell ref="A134:D134"/>
    <mergeCell ref="A135:B135"/>
    <mergeCell ref="C135:D135"/>
    <mergeCell ref="A137:B137"/>
    <mergeCell ref="A138:B138"/>
    <mergeCell ref="G98:I98"/>
    <mergeCell ref="A1:N1"/>
    <mergeCell ref="A2:N2"/>
    <mergeCell ref="A93:E93"/>
    <mergeCell ref="E95:J95"/>
    <mergeCell ref="G96:H9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topLeftCell="B55" zoomScale="80" zoomScaleNormal="80" workbookViewId="0">
      <selection activeCell="M70" sqref="M70"/>
    </sheetView>
  </sheetViews>
  <sheetFormatPr defaultRowHeight="15" x14ac:dyDescent="0.25"/>
  <cols>
    <col min="1" max="1" width="9.140625" style="58" customWidth="1"/>
    <col min="2" max="2" width="21.140625" style="58" customWidth="1"/>
    <col min="3" max="3" width="27.140625" style="58" customWidth="1"/>
    <col min="4" max="4" width="19" style="58" customWidth="1"/>
    <col min="5" max="5" width="19.5703125" style="58" customWidth="1"/>
    <col min="6" max="6" width="10.85546875" style="58" customWidth="1"/>
    <col min="7" max="7" width="13.7109375" style="58" customWidth="1"/>
    <col min="8" max="8" width="8.85546875" style="58" customWidth="1"/>
    <col min="9" max="9" width="20.5703125" style="58" customWidth="1"/>
    <col min="10" max="10" width="19.85546875" style="58" customWidth="1"/>
    <col min="11" max="11" width="22.28515625" style="58" customWidth="1"/>
    <col min="12" max="12" width="20.42578125" style="58" customWidth="1"/>
    <col min="13" max="13" width="21.7109375" style="58" customWidth="1"/>
    <col min="14" max="16384" width="9.140625" style="58"/>
  </cols>
  <sheetData>
    <row r="1" spans="1:14" ht="21" x14ac:dyDescent="0.35">
      <c r="A1" s="362" t="s">
        <v>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</row>
    <row r="2" spans="1:14" ht="18.75" x14ac:dyDescent="0.3">
      <c r="A2" s="363" t="s">
        <v>93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</row>
    <row r="3" spans="1:14" x14ac:dyDescent="0.25">
      <c r="B3" s="18"/>
      <c r="C3" s="19"/>
      <c r="G3" s="18"/>
      <c r="H3" s="59"/>
      <c r="I3" s="60"/>
      <c r="J3" s="60"/>
      <c r="K3" s="60"/>
      <c r="L3" s="18"/>
      <c r="M3" s="18"/>
    </row>
    <row r="4" spans="1:14" ht="15.75" x14ac:dyDescent="0.25">
      <c r="A4" s="15" t="s">
        <v>0</v>
      </c>
      <c r="B4" s="16" t="s">
        <v>1</v>
      </c>
      <c r="C4" s="17" t="s">
        <v>2</v>
      </c>
      <c r="D4" s="16" t="s">
        <v>119</v>
      </c>
      <c r="E4" s="16" t="s">
        <v>3</v>
      </c>
      <c r="F4" s="16" t="s">
        <v>4</v>
      </c>
      <c r="G4" s="16" t="s">
        <v>5</v>
      </c>
      <c r="H4" s="61" t="s">
        <v>6</v>
      </c>
      <c r="I4" s="62" t="s">
        <v>7</v>
      </c>
      <c r="J4" s="62" t="s">
        <v>115</v>
      </c>
      <c r="K4" s="62" t="s">
        <v>92</v>
      </c>
      <c r="L4" s="16" t="s">
        <v>116</v>
      </c>
      <c r="M4" s="16" t="s">
        <v>81</v>
      </c>
      <c r="N4" s="16" t="s">
        <v>72</v>
      </c>
    </row>
    <row r="5" spans="1:14" x14ac:dyDescent="0.25">
      <c r="A5" s="18">
        <v>1</v>
      </c>
      <c r="B5" s="19" t="s">
        <v>27</v>
      </c>
      <c r="C5" s="19" t="s">
        <v>41</v>
      </c>
      <c r="D5" s="20">
        <v>73500</v>
      </c>
      <c r="E5" s="21">
        <v>95000</v>
      </c>
      <c r="F5" s="63">
        <v>114</v>
      </c>
      <c r="G5" s="18">
        <v>48</v>
      </c>
      <c r="H5" s="63">
        <f>Table2423[STOK]-Table2423[TERJUAL]</f>
        <v>66</v>
      </c>
      <c r="I5" s="21">
        <f>(Table2423[HARGA JUAL]*Table2423[TERJUAL])-(Table2423[HARGA POKOK]*Table2423[TERJUAL])</f>
        <v>1032000</v>
      </c>
      <c r="J5" s="21">
        <f>(Table2423[HARGA JUAL]*Table2423[TERJUAL])</f>
        <v>4560000</v>
      </c>
      <c r="K5" s="21">
        <f>Table2423[HARGA JUAL]*Table2423[SISA]</f>
        <v>6270000</v>
      </c>
      <c r="L5" s="64">
        <f>Table2423[HARGA POKOK]*Table2423[STOK]</f>
        <v>8379000</v>
      </c>
      <c r="M5" s="64">
        <f>Table2423[HARGA JUAL]*Table2423[STOK]</f>
        <v>10830000</v>
      </c>
    </row>
    <row r="6" spans="1:14" x14ac:dyDescent="0.25">
      <c r="A6" s="22">
        <v>2</v>
      </c>
      <c r="B6" s="19" t="s">
        <v>27</v>
      </c>
      <c r="C6" s="83" t="s">
        <v>42</v>
      </c>
      <c r="D6" s="24">
        <v>58500</v>
      </c>
      <c r="E6" s="24">
        <v>80000</v>
      </c>
      <c r="F6" s="65">
        <f>Table24[STOK]-Table24[TERJUAL]</f>
        <v>50</v>
      </c>
      <c r="G6" s="22">
        <v>4</v>
      </c>
      <c r="H6" s="65">
        <f>Table2423[STOK]-Table2423[TERJUAL]</f>
        <v>46</v>
      </c>
      <c r="I6" s="21">
        <f>(Table2423[HARGA JUAL]*Table2423[TERJUAL])-(Table2423[HARGA POKOK]*Table2423[TERJUAL])</f>
        <v>86000</v>
      </c>
      <c r="J6" s="24">
        <f>(Table2423[HARGA JUAL]*Table2423[TERJUAL])</f>
        <v>320000</v>
      </c>
      <c r="K6" s="24">
        <f>Table2423[HARGA JUAL]*Table2423[SISA]</f>
        <v>3680000</v>
      </c>
      <c r="L6" s="64">
        <f>Table2423[HARGA POKOK]*Table2423[STOK]</f>
        <v>2925000</v>
      </c>
      <c r="M6" s="64">
        <f>Table2423[HARGA JUAL]*Table2423[STOK]</f>
        <v>4000000</v>
      </c>
    </row>
    <row r="7" spans="1:14" x14ac:dyDescent="0.25">
      <c r="A7" s="18">
        <v>3</v>
      </c>
      <c r="B7" s="19" t="s">
        <v>27</v>
      </c>
      <c r="C7" s="19" t="s">
        <v>43</v>
      </c>
      <c r="D7" s="21">
        <v>52500</v>
      </c>
      <c r="E7" s="21">
        <v>75000</v>
      </c>
      <c r="F7" s="63">
        <f>Table24[STOK]-Table24[TERJUAL]</f>
        <v>40</v>
      </c>
      <c r="G7" s="18">
        <v>1</v>
      </c>
      <c r="H7" s="63">
        <f>Table2423[STOK]-Table2423[TERJUAL]</f>
        <v>39</v>
      </c>
      <c r="I7" s="21">
        <f>(Table2423[HARGA JUAL]*Table2423[TERJUAL])-(Table2423[HARGA POKOK]*Table2423[TERJUAL])</f>
        <v>22500</v>
      </c>
      <c r="J7" s="21">
        <f>(Table2423[HARGA JUAL]*Table2423[TERJUAL])</f>
        <v>75000</v>
      </c>
      <c r="K7" s="21">
        <f>Table2423[HARGA JUAL]*Table2423[SISA]</f>
        <v>2925000</v>
      </c>
      <c r="L7" s="64">
        <f>Table2423[HARGA POKOK]*Table2423[STOK]</f>
        <v>2100000</v>
      </c>
      <c r="M7" s="64">
        <f>Table2423[HARGA JUAL]*Table2423[STOK]</f>
        <v>3000000</v>
      </c>
    </row>
    <row r="8" spans="1:14" x14ac:dyDescent="0.25">
      <c r="A8" s="22">
        <v>4</v>
      </c>
      <c r="B8" s="19" t="s">
        <v>27</v>
      </c>
      <c r="C8" s="19" t="s">
        <v>44</v>
      </c>
      <c r="D8" s="21">
        <v>63500</v>
      </c>
      <c r="E8" s="21">
        <v>80000</v>
      </c>
      <c r="F8" s="63">
        <f>Table24[STOK]-Table24[TERJUAL]</f>
        <v>51</v>
      </c>
      <c r="G8" s="18">
        <v>16</v>
      </c>
      <c r="H8" s="63">
        <f>Table2423[STOK]-Table2423[TERJUAL]</f>
        <v>35</v>
      </c>
      <c r="I8" s="21">
        <f>(Table2423[HARGA JUAL]*Table2423[TERJUAL])-(Table2423[HARGA POKOK]*Table2423[TERJUAL])</f>
        <v>264000</v>
      </c>
      <c r="J8" s="21">
        <f>(Table2423[HARGA JUAL]*Table2423[TERJUAL])</f>
        <v>1280000</v>
      </c>
      <c r="K8" s="21">
        <f>Table2423[HARGA JUAL]*Table2423[SISA]</f>
        <v>2800000</v>
      </c>
      <c r="L8" s="64">
        <f>Table2423[HARGA POKOK]*Table2423[STOK]</f>
        <v>3238500</v>
      </c>
      <c r="M8" s="64">
        <f>Table2423[HARGA JUAL]*Table2423[STOK]</f>
        <v>4080000</v>
      </c>
    </row>
    <row r="9" spans="1:14" x14ac:dyDescent="0.25">
      <c r="A9" s="18">
        <v>5</v>
      </c>
      <c r="B9" s="19" t="s">
        <v>27</v>
      </c>
      <c r="C9" s="19" t="s">
        <v>45</v>
      </c>
      <c r="D9" s="21">
        <v>58500</v>
      </c>
      <c r="E9" s="21">
        <v>80000</v>
      </c>
      <c r="F9" s="63">
        <f>Table24[STOK]-Table24[TERJUAL]</f>
        <v>82</v>
      </c>
      <c r="G9" s="18">
        <v>4</v>
      </c>
      <c r="H9" s="63">
        <f>Table2423[STOK]-Table2423[TERJUAL]</f>
        <v>78</v>
      </c>
      <c r="I9" s="21">
        <f>(Table2423[HARGA JUAL]*Table2423[TERJUAL])-(Table2423[HARGA POKOK]*Table2423[TERJUAL])</f>
        <v>86000</v>
      </c>
      <c r="J9" s="21">
        <f>(Table2423[HARGA JUAL]*Table2423[TERJUAL])</f>
        <v>320000</v>
      </c>
      <c r="K9" s="21">
        <f>Table2423[HARGA JUAL]*Table2423[SISA]</f>
        <v>6240000</v>
      </c>
      <c r="L9" s="64">
        <f>Table2423[HARGA POKOK]*Table2423[STOK]</f>
        <v>4797000</v>
      </c>
      <c r="M9" s="64">
        <f>Table2423[HARGA JUAL]*Table2423[STOK]</f>
        <v>6560000</v>
      </c>
    </row>
    <row r="10" spans="1:14" x14ac:dyDescent="0.25">
      <c r="A10" s="22">
        <v>6</v>
      </c>
      <c r="B10" s="19" t="s">
        <v>27</v>
      </c>
      <c r="C10" s="19" t="s">
        <v>46</v>
      </c>
      <c r="D10" s="21">
        <v>83500</v>
      </c>
      <c r="E10" s="21">
        <v>110000</v>
      </c>
      <c r="F10" s="63">
        <f>Table24[STOK]-Table24[TERJUAL]</f>
        <v>40</v>
      </c>
      <c r="G10" s="18">
        <v>1</v>
      </c>
      <c r="H10" s="63">
        <f>Table2423[STOK]-Table2423[TERJUAL]</f>
        <v>39</v>
      </c>
      <c r="I10" s="21">
        <f>(Table2423[HARGA JUAL]*Table2423[TERJUAL])-(Table2423[HARGA POKOK]*Table2423[TERJUAL])</f>
        <v>26500</v>
      </c>
      <c r="J10" s="21">
        <f>(Table2423[HARGA JUAL]*Table2423[TERJUAL])</f>
        <v>110000</v>
      </c>
      <c r="K10" s="21">
        <f>Table2423[HARGA JUAL]*Table2423[SISA]</f>
        <v>4290000</v>
      </c>
      <c r="L10" s="64">
        <f>Table2423[HARGA POKOK]*Table2423[STOK]</f>
        <v>3340000</v>
      </c>
      <c r="M10" s="64">
        <f>Table2423[HARGA JUAL]*Table2423[STOK]</f>
        <v>4400000</v>
      </c>
    </row>
    <row r="11" spans="1:14" x14ac:dyDescent="0.25">
      <c r="A11" s="18">
        <v>7</v>
      </c>
      <c r="B11" s="19" t="s">
        <v>28</v>
      </c>
      <c r="C11" s="19" t="s">
        <v>38</v>
      </c>
      <c r="D11" s="21">
        <v>88500</v>
      </c>
      <c r="E11" s="21">
        <v>115000</v>
      </c>
      <c r="F11" s="63">
        <f>Table24[STOK]-Table24[TERJUAL]</f>
        <v>18</v>
      </c>
      <c r="G11" s="18"/>
      <c r="H11" s="63">
        <f>Table2423[STOK]-Table2423[TERJUAL]</f>
        <v>18</v>
      </c>
      <c r="I11" s="21">
        <f>(Table2423[HARGA JUAL]*Table2423[TERJUAL])-(Table2423[HARGA POKOK]*Table2423[TERJUAL])</f>
        <v>0</v>
      </c>
      <c r="J11" s="21">
        <f>(Table2423[HARGA JUAL]*Table2423[TERJUAL])</f>
        <v>0</v>
      </c>
      <c r="K11" s="21">
        <f>Table2423[HARGA JUAL]*Table2423[SISA]</f>
        <v>2070000</v>
      </c>
      <c r="L11" s="64">
        <f>Table2423[HARGA POKOK]*Table2423[STOK]</f>
        <v>1593000</v>
      </c>
      <c r="M11" s="64">
        <f>Table2423[HARGA JUAL]*Table2423[STOK]</f>
        <v>2070000</v>
      </c>
    </row>
    <row r="12" spans="1:14" x14ac:dyDescent="0.25">
      <c r="A12" s="22">
        <v>8</v>
      </c>
      <c r="B12" s="83" t="s">
        <v>28</v>
      </c>
      <c r="C12" s="83" t="s">
        <v>10</v>
      </c>
      <c r="D12" s="24">
        <v>84500</v>
      </c>
      <c r="E12" s="24">
        <v>90000</v>
      </c>
      <c r="F12" s="65">
        <f>Table24[STOK]-Table24[TERJUAL]</f>
        <v>63</v>
      </c>
      <c r="G12" s="22">
        <v>5</v>
      </c>
      <c r="H12" s="65">
        <f>Table2423[STOK]-Table2423[TERJUAL]</f>
        <v>58</v>
      </c>
      <c r="I12" s="21">
        <f>(Table2423[HARGA JUAL]*Table2423[TERJUAL])-(Table2423[HARGA POKOK]*Table2423[TERJUAL])</f>
        <v>27500</v>
      </c>
      <c r="J12" s="24">
        <f>(Table2423[HARGA JUAL]*Table2423[TERJUAL])</f>
        <v>450000</v>
      </c>
      <c r="K12" s="24">
        <f>Table2423[HARGA JUAL]*Table2423[SISA]</f>
        <v>5220000</v>
      </c>
      <c r="L12" s="64">
        <f>Table2423[HARGA POKOK]*Table2423[STOK]</f>
        <v>5323500</v>
      </c>
      <c r="M12" s="64">
        <f>Table2423[HARGA JUAL]*Table2423[STOK]</f>
        <v>5670000</v>
      </c>
    </row>
    <row r="13" spans="1:14" x14ac:dyDescent="0.25">
      <c r="A13" s="18">
        <v>9</v>
      </c>
      <c r="B13" s="83" t="s">
        <v>28</v>
      </c>
      <c r="C13" s="19" t="s">
        <v>11</v>
      </c>
      <c r="D13" s="21">
        <v>158000</v>
      </c>
      <c r="E13" s="21">
        <v>180000</v>
      </c>
      <c r="F13" s="63">
        <f>Table24[STOK]-Table24[TERJUAL]</f>
        <v>18</v>
      </c>
      <c r="G13" s="18">
        <v>19</v>
      </c>
      <c r="H13" s="63">
        <f>Table2423[STOK]-Table2423[TERJUAL]</f>
        <v>-1</v>
      </c>
      <c r="I13" s="21">
        <f>(Table2423[HARGA JUAL]*Table2423[TERJUAL])-(Table2423[HARGA POKOK]*Table2423[TERJUAL])</f>
        <v>418000</v>
      </c>
      <c r="J13" s="21">
        <f>(Table2423[HARGA JUAL]*Table2423[TERJUAL])</f>
        <v>3420000</v>
      </c>
      <c r="K13" s="21">
        <f>Table2423[HARGA JUAL]*Table2423[SISA]</f>
        <v>-180000</v>
      </c>
      <c r="L13" s="64">
        <f>Table2423[HARGA POKOK]*Table2423[STOK]</f>
        <v>2844000</v>
      </c>
      <c r="M13" s="64">
        <f>Table2423[HARGA JUAL]*Table2423[STOK]</f>
        <v>3240000</v>
      </c>
    </row>
    <row r="14" spans="1:14" x14ac:dyDescent="0.25">
      <c r="A14" s="22">
        <v>10</v>
      </c>
      <c r="B14" s="83" t="s">
        <v>28</v>
      </c>
      <c r="C14" s="19" t="s">
        <v>12</v>
      </c>
      <c r="D14" s="21">
        <v>133000</v>
      </c>
      <c r="E14" s="21">
        <v>165000</v>
      </c>
      <c r="F14" s="63">
        <f>Table24[STOK]-Table24[TERJUAL]</f>
        <v>89</v>
      </c>
      <c r="G14" s="18">
        <v>2</v>
      </c>
      <c r="H14" s="63">
        <f>Table2423[STOK]-Table2423[TERJUAL]</f>
        <v>87</v>
      </c>
      <c r="I14" s="21">
        <f>(Table2423[HARGA JUAL]*Table2423[TERJUAL])-(Table2423[HARGA POKOK]*Table2423[TERJUAL])</f>
        <v>64000</v>
      </c>
      <c r="J14" s="21">
        <f>(Table2423[HARGA JUAL]*Table2423[TERJUAL])</f>
        <v>330000</v>
      </c>
      <c r="K14" s="21">
        <f>Table2423[HARGA JUAL]*Table2423[SISA]</f>
        <v>14355000</v>
      </c>
      <c r="L14" s="64">
        <f>Table2423[HARGA POKOK]*Table2423[STOK]</f>
        <v>11837000</v>
      </c>
      <c r="M14" s="64">
        <f>Table2423[HARGA JUAL]*Table2423[STOK]</f>
        <v>14685000</v>
      </c>
    </row>
    <row r="15" spans="1:14" x14ac:dyDescent="0.25">
      <c r="A15" s="18">
        <v>11</v>
      </c>
      <c r="B15" s="83" t="s">
        <v>28</v>
      </c>
      <c r="C15" s="19" t="s">
        <v>39</v>
      </c>
      <c r="D15" s="21">
        <v>29500</v>
      </c>
      <c r="E15" s="21">
        <v>40000</v>
      </c>
      <c r="F15" s="63">
        <f>Table24[STOK]-Table24[TERJUAL]</f>
        <v>23</v>
      </c>
      <c r="G15" s="18">
        <v>11</v>
      </c>
      <c r="H15" s="63">
        <f>Table2423[STOK]-Table2423[TERJUAL]</f>
        <v>12</v>
      </c>
      <c r="I15" s="21">
        <f>(Table2423[HARGA JUAL]*Table2423[TERJUAL])-(Table2423[HARGA POKOK]*Table2423[TERJUAL])</f>
        <v>115500</v>
      </c>
      <c r="J15" s="21">
        <f>(Table2423[HARGA JUAL]*Table2423[TERJUAL])</f>
        <v>440000</v>
      </c>
      <c r="K15" s="21">
        <f>Table2423[HARGA JUAL]*Table2423[SISA]</f>
        <v>480000</v>
      </c>
      <c r="L15" s="64">
        <f>Table2423[HARGA POKOK]*Table2423[STOK]</f>
        <v>678500</v>
      </c>
      <c r="M15" s="64">
        <f>Table2423[HARGA JUAL]*Table2423[STOK]</f>
        <v>920000</v>
      </c>
    </row>
    <row r="16" spans="1:14" x14ac:dyDescent="0.25">
      <c r="A16" s="22">
        <v>12</v>
      </c>
      <c r="B16" s="83" t="s">
        <v>28</v>
      </c>
      <c r="C16" s="19" t="s">
        <v>47</v>
      </c>
      <c r="D16" s="21">
        <v>66000</v>
      </c>
      <c r="E16" s="21">
        <v>85000</v>
      </c>
      <c r="F16" s="63">
        <f>Table24[STOK]-Table24[TERJUAL]</f>
        <v>70</v>
      </c>
      <c r="G16" s="18">
        <v>1</v>
      </c>
      <c r="H16" s="63">
        <f>Table2423[STOK]-Table2423[TERJUAL]</f>
        <v>69</v>
      </c>
      <c r="I16" s="21">
        <f>(Table2423[HARGA JUAL]*Table2423[TERJUAL])-(Table2423[HARGA POKOK]*Table2423[TERJUAL])</f>
        <v>19000</v>
      </c>
      <c r="J16" s="21">
        <f>(Table2423[HARGA JUAL]*Table2423[TERJUAL])</f>
        <v>85000</v>
      </c>
      <c r="K16" s="21">
        <f>Table2423[HARGA JUAL]*Table2423[SISA]</f>
        <v>5865000</v>
      </c>
      <c r="L16" s="64">
        <f>Table2423[HARGA POKOK]*Table2423[STOK]</f>
        <v>4620000</v>
      </c>
      <c r="M16" s="64">
        <f>Table2423[HARGA JUAL]*Table2423[STOK]</f>
        <v>5950000</v>
      </c>
    </row>
    <row r="17" spans="1:13" x14ac:dyDescent="0.25">
      <c r="A17" s="18">
        <v>13</v>
      </c>
      <c r="B17" s="83" t="s">
        <v>28</v>
      </c>
      <c r="C17" s="19" t="s">
        <v>48</v>
      </c>
      <c r="D17" s="21">
        <v>22500</v>
      </c>
      <c r="E17" s="21">
        <v>33000</v>
      </c>
      <c r="F17" s="63">
        <f>Table24[STOK]-Table24[TERJUAL]</f>
        <v>399</v>
      </c>
      <c r="G17" s="18">
        <v>1</v>
      </c>
      <c r="H17" s="63">
        <f>Table2423[STOK]-Table2423[TERJUAL]</f>
        <v>398</v>
      </c>
      <c r="I17" s="21">
        <f>(Table2423[HARGA JUAL]*Table2423[TERJUAL])-(Table2423[HARGA POKOK]*Table2423[TERJUAL])</f>
        <v>10500</v>
      </c>
      <c r="J17" s="21">
        <f>(Table2423[HARGA JUAL]*Table2423[TERJUAL])</f>
        <v>33000</v>
      </c>
      <c r="K17" s="21">
        <f>Table2423[HARGA JUAL]*Table2423[SISA]</f>
        <v>13134000</v>
      </c>
      <c r="L17" s="64">
        <f>Table2423[HARGA POKOK]*Table2423[STOK]</f>
        <v>8977500</v>
      </c>
      <c r="M17" s="64">
        <f>Table2423[HARGA JUAL]*Table2423[STOK]</f>
        <v>13167000</v>
      </c>
    </row>
    <row r="18" spans="1:13" x14ac:dyDescent="0.25">
      <c r="A18" s="22">
        <v>14</v>
      </c>
      <c r="B18" s="83" t="s">
        <v>28</v>
      </c>
      <c r="C18" s="19" t="s">
        <v>49</v>
      </c>
      <c r="D18" s="21">
        <v>56000</v>
      </c>
      <c r="E18" s="21">
        <v>80000</v>
      </c>
      <c r="F18" s="63">
        <f>Table24[STOK]-Table24[TERJUAL]</f>
        <v>91</v>
      </c>
      <c r="G18" s="18">
        <v>5</v>
      </c>
      <c r="H18" s="63">
        <f>Table2423[STOK]-Table2423[TERJUAL]</f>
        <v>86</v>
      </c>
      <c r="I18" s="21">
        <f>(Table2423[HARGA JUAL]*Table2423[TERJUAL])-(Table2423[HARGA POKOK]*Table2423[TERJUAL])</f>
        <v>120000</v>
      </c>
      <c r="J18" s="21">
        <f>(Table2423[HARGA JUAL]*Table2423[TERJUAL])</f>
        <v>400000</v>
      </c>
      <c r="K18" s="21">
        <f>Table2423[HARGA JUAL]*Table2423[SISA]</f>
        <v>6880000</v>
      </c>
      <c r="L18" s="64">
        <f>Table2423[HARGA POKOK]*Table2423[STOK]</f>
        <v>5096000</v>
      </c>
      <c r="M18" s="64">
        <f>Table2423[HARGA JUAL]*Table2423[STOK]</f>
        <v>7280000</v>
      </c>
    </row>
    <row r="19" spans="1:13" x14ac:dyDescent="0.25">
      <c r="A19" s="18">
        <v>15</v>
      </c>
      <c r="B19" s="83" t="s">
        <v>28</v>
      </c>
      <c r="C19" s="19" t="s">
        <v>50</v>
      </c>
      <c r="D19" s="21">
        <v>40000</v>
      </c>
      <c r="E19" s="21">
        <v>60000</v>
      </c>
      <c r="F19" s="63">
        <f>Table24[STOK]-Table24[TERJUAL]</f>
        <v>35</v>
      </c>
      <c r="G19" s="18">
        <v>19</v>
      </c>
      <c r="H19" s="63">
        <f>Table2423[STOK]-Table2423[TERJUAL]</f>
        <v>16</v>
      </c>
      <c r="I19" s="21">
        <f>(Table2423[HARGA JUAL]*Table2423[TERJUAL])-(Table2423[HARGA POKOK]*Table2423[TERJUAL])</f>
        <v>380000</v>
      </c>
      <c r="J19" s="21">
        <f>(Table2423[HARGA JUAL]*Table2423[TERJUAL])</f>
        <v>1140000</v>
      </c>
      <c r="K19" s="21">
        <f>Table2423[HARGA JUAL]*Table2423[SISA]</f>
        <v>960000</v>
      </c>
      <c r="L19" s="64">
        <f>Table2423[HARGA POKOK]*Table2423[STOK]</f>
        <v>1400000</v>
      </c>
      <c r="M19" s="64">
        <f>Table2423[HARGA JUAL]*Table2423[STOK]</f>
        <v>2100000</v>
      </c>
    </row>
    <row r="20" spans="1:13" x14ac:dyDescent="0.25">
      <c r="A20" s="22">
        <v>16</v>
      </c>
      <c r="B20" s="83" t="s">
        <v>28</v>
      </c>
      <c r="C20" s="19" t="s">
        <v>51</v>
      </c>
      <c r="D20" s="21">
        <v>60000</v>
      </c>
      <c r="E20" s="21">
        <v>80000</v>
      </c>
      <c r="F20" s="63">
        <f>Table24[STOK]-Table24[TERJUAL]</f>
        <v>80</v>
      </c>
      <c r="G20" s="18">
        <v>1</v>
      </c>
      <c r="H20" s="63">
        <f>Table2423[STOK]-Table2423[TERJUAL]</f>
        <v>79</v>
      </c>
      <c r="I20" s="21">
        <f>(Table2423[HARGA JUAL]*Table2423[TERJUAL])-(Table2423[HARGA POKOK]*Table2423[TERJUAL])</f>
        <v>20000</v>
      </c>
      <c r="J20" s="21">
        <f>(Table2423[HARGA JUAL]*Table2423[TERJUAL])</f>
        <v>80000</v>
      </c>
      <c r="K20" s="21">
        <f>Table2423[HARGA JUAL]*Table2423[SISA]</f>
        <v>6320000</v>
      </c>
      <c r="L20" s="64">
        <f>Table2423[HARGA POKOK]*Table2423[STOK]</f>
        <v>4800000</v>
      </c>
      <c r="M20" s="64">
        <f>Table2423[HARGA JUAL]*Table2423[STOK]</f>
        <v>6400000</v>
      </c>
    </row>
    <row r="21" spans="1:13" x14ac:dyDescent="0.25">
      <c r="A21" s="18">
        <v>17</v>
      </c>
      <c r="B21" s="83" t="s">
        <v>28</v>
      </c>
      <c r="C21" s="19" t="s">
        <v>52</v>
      </c>
      <c r="D21" s="21">
        <v>30000</v>
      </c>
      <c r="E21" s="21">
        <v>45000</v>
      </c>
      <c r="F21" s="63">
        <f>Table24[STOK]-Table24[TERJUAL]</f>
        <v>98</v>
      </c>
      <c r="G21" s="18"/>
      <c r="H21" s="63">
        <f>Table2423[STOK]-Table2423[TERJUAL]</f>
        <v>98</v>
      </c>
      <c r="I21" s="21">
        <f>(Table2423[HARGA JUAL]*Table2423[TERJUAL])-(Table2423[HARGA POKOK]*Table2423[TERJUAL])</f>
        <v>0</v>
      </c>
      <c r="J21" s="21">
        <f>(Table2423[HARGA JUAL]*Table2423[TERJUAL])</f>
        <v>0</v>
      </c>
      <c r="K21" s="21">
        <f>Table2423[HARGA JUAL]*Table2423[SISA]</f>
        <v>4410000</v>
      </c>
      <c r="L21" s="64">
        <f>Table2423[HARGA POKOK]*Table2423[STOK]</f>
        <v>2940000</v>
      </c>
      <c r="M21" s="64">
        <f>Table2423[HARGA JUAL]*Table2423[STOK]</f>
        <v>4410000</v>
      </c>
    </row>
    <row r="22" spans="1:13" x14ac:dyDescent="0.25">
      <c r="A22" s="22">
        <v>18</v>
      </c>
      <c r="B22" s="83" t="s">
        <v>28</v>
      </c>
      <c r="C22" s="19" t="s">
        <v>53</v>
      </c>
      <c r="D22" s="21">
        <v>2500</v>
      </c>
      <c r="E22" s="21">
        <v>5000</v>
      </c>
      <c r="F22" s="63">
        <f>Table24[STOK]-Table24[TERJUAL]</f>
        <v>19</v>
      </c>
      <c r="G22" s="18"/>
      <c r="H22" s="63">
        <f>Table2423[STOK]-Table2423[TERJUAL]</f>
        <v>19</v>
      </c>
      <c r="I22" s="21">
        <f>(Table2423[HARGA JUAL]*Table2423[TERJUAL])-(Table2423[HARGA POKOK]*Table2423[TERJUAL])</f>
        <v>0</v>
      </c>
      <c r="J22" s="21">
        <f>(Table2423[HARGA JUAL]*Table2423[TERJUAL])</f>
        <v>0</v>
      </c>
      <c r="K22" s="21">
        <f>Table2423[HARGA JUAL]*Table2423[SISA]</f>
        <v>95000</v>
      </c>
      <c r="L22" s="64">
        <f>Table2423[HARGA POKOK]*Table2423[STOK]</f>
        <v>47500</v>
      </c>
      <c r="M22" s="64">
        <f>Table2423[HARGA JUAL]*Table2423[STOK]</f>
        <v>95000</v>
      </c>
    </row>
    <row r="23" spans="1:13" x14ac:dyDescent="0.25">
      <c r="A23" s="18">
        <v>19</v>
      </c>
      <c r="B23" s="19" t="s">
        <v>29</v>
      </c>
      <c r="C23" s="19" t="s">
        <v>54</v>
      </c>
      <c r="D23" s="21">
        <v>47500</v>
      </c>
      <c r="E23" s="21">
        <v>60000</v>
      </c>
      <c r="F23" s="63">
        <f>Table24[STOK]-Table24[TERJUAL]</f>
        <v>100</v>
      </c>
      <c r="G23" s="18"/>
      <c r="H23" s="63">
        <f>Table2423[STOK]-Table2423[TERJUAL]</f>
        <v>100</v>
      </c>
      <c r="I23" s="21">
        <f>(Table2423[HARGA JUAL]*Table2423[TERJUAL])-(Table2423[HARGA POKOK]*Table2423[TERJUAL])</f>
        <v>0</v>
      </c>
      <c r="J23" s="21">
        <f>(Table2423[HARGA JUAL]*Table2423[TERJUAL])</f>
        <v>0</v>
      </c>
      <c r="K23" s="21">
        <f>Table2423[HARGA JUAL]*Table2423[SISA]</f>
        <v>6000000</v>
      </c>
      <c r="L23" s="64">
        <f>Table2423[HARGA POKOK]*Table2423[STOK]</f>
        <v>4750000</v>
      </c>
      <c r="M23" s="64">
        <f>Table2423[HARGA JUAL]*Table2423[STOK]</f>
        <v>6000000</v>
      </c>
    </row>
    <row r="24" spans="1:13" x14ac:dyDescent="0.25">
      <c r="A24" s="22">
        <v>20</v>
      </c>
      <c r="B24" s="19" t="s">
        <v>29</v>
      </c>
      <c r="C24" s="19" t="s">
        <v>55</v>
      </c>
      <c r="D24" s="21">
        <v>133500</v>
      </c>
      <c r="E24" s="21">
        <v>143000</v>
      </c>
      <c r="F24" s="63">
        <f>Table24[STOK]-Table24[TERJUAL]</f>
        <v>20</v>
      </c>
      <c r="G24" s="18">
        <v>3</v>
      </c>
      <c r="H24" s="63">
        <f>Table2423[STOK]-Table2423[TERJUAL]</f>
        <v>17</v>
      </c>
      <c r="I24" s="21">
        <f>(Table2423[HARGA JUAL]*Table2423[TERJUAL])-(Table2423[HARGA POKOK]*Table2423[TERJUAL])</f>
        <v>28500</v>
      </c>
      <c r="J24" s="21">
        <f>(Table2423[HARGA JUAL]*Table2423[TERJUAL])</f>
        <v>429000</v>
      </c>
      <c r="K24" s="21">
        <f>Table2423[HARGA JUAL]*Table2423[SISA]</f>
        <v>2431000</v>
      </c>
      <c r="L24" s="64">
        <f>Table2423[HARGA POKOK]*Table2423[STOK]</f>
        <v>2670000</v>
      </c>
      <c r="M24" s="64">
        <f>Table2423[HARGA JUAL]*Table2423[STOK]</f>
        <v>2860000</v>
      </c>
    </row>
    <row r="25" spans="1:13" x14ac:dyDescent="0.25">
      <c r="A25" s="18">
        <v>21</v>
      </c>
      <c r="B25" s="19" t="s">
        <v>29</v>
      </c>
      <c r="C25" s="83" t="s">
        <v>56</v>
      </c>
      <c r="D25" s="24">
        <v>77500</v>
      </c>
      <c r="E25" s="24">
        <v>120000</v>
      </c>
      <c r="F25" s="65">
        <f>Table24[STOK]-Table24[TERJUAL]</f>
        <v>46</v>
      </c>
      <c r="G25" s="22">
        <v>6</v>
      </c>
      <c r="H25" s="65">
        <f>Table2423[STOK]-Table2423[TERJUAL]</f>
        <v>40</v>
      </c>
      <c r="I25" s="21">
        <f>(Table2423[HARGA JUAL]*Table2423[TERJUAL])-(Table2423[HARGA POKOK]*Table2423[TERJUAL])</f>
        <v>255000</v>
      </c>
      <c r="J25" s="24">
        <f>(Table2423[HARGA JUAL]*Table2423[TERJUAL])</f>
        <v>720000</v>
      </c>
      <c r="K25" s="24">
        <f>Table2423[HARGA JUAL]*Table2423[SISA]</f>
        <v>4800000</v>
      </c>
      <c r="L25" s="64">
        <f>Table2423[HARGA POKOK]*Table2423[STOK]</f>
        <v>3565000</v>
      </c>
      <c r="M25" s="64">
        <f>Table2423[HARGA JUAL]*Table2423[STOK]</f>
        <v>5520000</v>
      </c>
    </row>
    <row r="26" spans="1:13" x14ac:dyDescent="0.25">
      <c r="A26" s="22">
        <v>22</v>
      </c>
      <c r="B26" s="19" t="s">
        <v>29</v>
      </c>
      <c r="C26" s="19" t="s">
        <v>57</v>
      </c>
      <c r="D26" s="21">
        <v>165000</v>
      </c>
      <c r="E26" s="21">
        <v>195000</v>
      </c>
      <c r="F26" s="63">
        <f>Table24[STOK]-Table24[TERJUAL]</f>
        <v>40</v>
      </c>
      <c r="G26" s="18">
        <v>1</v>
      </c>
      <c r="H26" s="63">
        <f>Table2423[STOK]-Table2423[TERJUAL]</f>
        <v>39</v>
      </c>
      <c r="I26" s="21">
        <f>(Table2423[HARGA JUAL]*Table2423[TERJUAL])-(Table2423[HARGA POKOK]*Table2423[TERJUAL])</f>
        <v>30000</v>
      </c>
      <c r="J26" s="21">
        <f>(Table2423[HARGA JUAL]*Table2423[TERJUAL])</f>
        <v>195000</v>
      </c>
      <c r="K26" s="21">
        <f>Table2423[HARGA JUAL]*Table2423[SISA]</f>
        <v>7605000</v>
      </c>
      <c r="L26" s="64">
        <f>Table2423[HARGA POKOK]*Table2423[STOK]</f>
        <v>6600000</v>
      </c>
      <c r="M26" s="64">
        <f>Table2423[HARGA JUAL]*Table2423[STOK]</f>
        <v>7800000</v>
      </c>
    </row>
    <row r="27" spans="1:13" x14ac:dyDescent="0.25">
      <c r="A27" s="18">
        <v>23</v>
      </c>
      <c r="B27" s="19" t="s">
        <v>30</v>
      </c>
      <c r="C27" s="19" t="s">
        <v>58</v>
      </c>
      <c r="D27" s="21">
        <v>10000</v>
      </c>
      <c r="E27" s="21">
        <v>18000</v>
      </c>
      <c r="F27" s="63">
        <f>Table24[STOK]-Table24[TERJUAL]</f>
        <v>90</v>
      </c>
      <c r="G27" s="18">
        <v>5</v>
      </c>
      <c r="H27" s="63">
        <f>Table2423[STOK]-Table2423[TERJUAL]</f>
        <v>85</v>
      </c>
      <c r="I27" s="21">
        <f>(Table2423[HARGA JUAL]*Table2423[TERJUAL])-(Table2423[HARGA POKOK]*Table2423[TERJUAL])</f>
        <v>40000</v>
      </c>
      <c r="J27" s="21">
        <f>(Table2423[HARGA JUAL]*Table2423[TERJUAL])</f>
        <v>90000</v>
      </c>
      <c r="K27" s="21">
        <f>Table2423[HARGA JUAL]*Table2423[SISA]</f>
        <v>1530000</v>
      </c>
      <c r="L27" s="64">
        <f>Table2423[HARGA POKOK]*Table2423[STOK]</f>
        <v>900000</v>
      </c>
      <c r="M27" s="64">
        <f>Table2423[HARGA JUAL]*Table2423[STOK]</f>
        <v>1620000</v>
      </c>
    </row>
    <row r="28" spans="1:13" x14ac:dyDescent="0.25">
      <c r="A28" s="22">
        <v>1</v>
      </c>
      <c r="B28" s="19" t="s">
        <v>30</v>
      </c>
      <c r="C28" s="19" t="s">
        <v>59</v>
      </c>
      <c r="D28" s="21">
        <v>27500</v>
      </c>
      <c r="E28" s="21">
        <v>45000</v>
      </c>
      <c r="F28" s="63">
        <f>Table24[STOK]-Table24[TERJUAL]</f>
        <v>40</v>
      </c>
      <c r="G28" s="18"/>
      <c r="H28" s="63">
        <f>Table2423[STOK]-Table2423[TERJUAL]</f>
        <v>40</v>
      </c>
      <c r="I28" s="21">
        <f>(Table2423[HARGA JUAL]*Table2423[TERJUAL])-(Table2423[HARGA POKOK]*Table2423[TERJUAL])</f>
        <v>0</v>
      </c>
      <c r="J28" s="21">
        <f>(Table2423[HARGA JUAL]*Table2423[TERJUAL])</f>
        <v>0</v>
      </c>
      <c r="K28" s="21">
        <f>Table2423[HARGA JUAL]*Table2423[SISA]</f>
        <v>1800000</v>
      </c>
      <c r="L28" s="64">
        <f>Table2423[HARGA POKOK]*Table2423[STOK]</f>
        <v>1100000</v>
      </c>
      <c r="M28" s="64">
        <f>Table2423[HARGA JUAL]*Table2423[STOK]</f>
        <v>1800000</v>
      </c>
    </row>
    <row r="29" spans="1:13" x14ac:dyDescent="0.25">
      <c r="A29" s="18">
        <v>25</v>
      </c>
      <c r="B29" s="19" t="s">
        <v>30</v>
      </c>
      <c r="C29" s="19" t="s">
        <v>60</v>
      </c>
      <c r="D29" s="21">
        <v>12500</v>
      </c>
      <c r="E29" s="21">
        <v>16000</v>
      </c>
      <c r="F29" s="63">
        <f>Table24[STOK]-Table24[TERJUAL]</f>
        <v>65</v>
      </c>
      <c r="G29" s="18">
        <v>3</v>
      </c>
      <c r="H29" s="63">
        <f>Table2423[STOK]-Table2423[TERJUAL]</f>
        <v>62</v>
      </c>
      <c r="I29" s="21">
        <f>(Table2423[HARGA JUAL]*Table2423[TERJUAL])-(Table2423[HARGA POKOK]*Table2423[TERJUAL])</f>
        <v>10500</v>
      </c>
      <c r="J29" s="21">
        <f>(Table2423[HARGA JUAL]*Table2423[TERJUAL])</f>
        <v>48000</v>
      </c>
      <c r="K29" s="21">
        <f>Table2423[HARGA JUAL]*Table2423[SISA]</f>
        <v>992000</v>
      </c>
      <c r="L29" s="64">
        <f>Table2423[HARGA POKOK]*Table2423[STOK]</f>
        <v>812500</v>
      </c>
      <c r="M29" s="64">
        <f>Table2423[HARGA JUAL]*Table2423[STOK]</f>
        <v>1040000</v>
      </c>
    </row>
    <row r="30" spans="1:13" x14ac:dyDescent="0.25">
      <c r="A30" s="22">
        <v>26</v>
      </c>
      <c r="B30" s="19" t="s">
        <v>30</v>
      </c>
      <c r="C30" s="19" t="s">
        <v>13</v>
      </c>
      <c r="D30" s="21">
        <v>33500</v>
      </c>
      <c r="E30" s="21">
        <v>50000</v>
      </c>
      <c r="F30" s="63">
        <f>Table24[STOK]-Table24[TERJUAL]</f>
        <v>45</v>
      </c>
      <c r="G30" s="18">
        <v>2</v>
      </c>
      <c r="H30" s="63">
        <f>Table2423[STOK]-Table2423[TERJUAL]</f>
        <v>43</v>
      </c>
      <c r="I30" s="21">
        <f>(Table2423[HARGA JUAL]*Table2423[TERJUAL])-(Table2423[HARGA POKOK]*Table2423[TERJUAL])</f>
        <v>33000</v>
      </c>
      <c r="J30" s="21">
        <f>(Table2423[HARGA JUAL]*Table2423[TERJUAL])</f>
        <v>100000</v>
      </c>
      <c r="K30" s="21">
        <f>Table2423[HARGA JUAL]*Table2423[SISA]</f>
        <v>2150000</v>
      </c>
      <c r="L30" s="64">
        <f>Table2423[HARGA POKOK]*Table2423[STOK]</f>
        <v>1507500</v>
      </c>
      <c r="M30" s="64">
        <f>Table2423[HARGA JUAL]*Table2423[STOK]</f>
        <v>2250000</v>
      </c>
    </row>
    <row r="31" spans="1:13" x14ac:dyDescent="0.25">
      <c r="A31" s="18">
        <v>27</v>
      </c>
      <c r="B31" s="19" t="s">
        <v>30</v>
      </c>
      <c r="C31" s="19" t="s">
        <v>14</v>
      </c>
      <c r="D31" s="21">
        <v>8500</v>
      </c>
      <c r="E31" s="21">
        <v>12000</v>
      </c>
      <c r="F31" s="63">
        <f>Table24[STOK]-Table24[TERJUAL]</f>
        <v>286</v>
      </c>
      <c r="G31" s="18">
        <v>3</v>
      </c>
      <c r="H31" s="63">
        <f>Table2423[STOK]-Table2423[TERJUAL]</f>
        <v>283</v>
      </c>
      <c r="I31" s="21">
        <f>(Table2423[HARGA JUAL]*Table2423[TERJUAL])-(Table2423[HARGA POKOK]*Table2423[TERJUAL])</f>
        <v>10500</v>
      </c>
      <c r="J31" s="21">
        <f>(Table2423[HARGA JUAL]*Table2423[TERJUAL])</f>
        <v>36000</v>
      </c>
      <c r="K31" s="21">
        <f>Table2423[HARGA JUAL]*Table2423[SISA]</f>
        <v>3396000</v>
      </c>
      <c r="L31" s="64">
        <f>Table2423[HARGA POKOK]*Table2423[STOK]</f>
        <v>2431000</v>
      </c>
      <c r="M31" s="64">
        <f>Table2423[HARGA JUAL]*Table2423[STOK]</f>
        <v>3432000</v>
      </c>
    </row>
    <row r="32" spans="1:13" x14ac:dyDescent="0.25">
      <c r="A32" s="22">
        <v>28</v>
      </c>
      <c r="B32" s="19" t="s">
        <v>30</v>
      </c>
      <c r="C32" s="19" t="s">
        <v>15</v>
      </c>
      <c r="D32" s="21">
        <v>30500</v>
      </c>
      <c r="E32" s="21">
        <v>45000</v>
      </c>
      <c r="F32" s="63">
        <f>Table24[STOK]-Table24[TERJUAL]</f>
        <v>46</v>
      </c>
      <c r="G32" s="18">
        <v>1</v>
      </c>
      <c r="H32" s="63">
        <f>Table2423[STOK]-Table2423[TERJUAL]</f>
        <v>45</v>
      </c>
      <c r="I32" s="21">
        <f>(Table2423[HARGA JUAL]*Table2423[TERJUAL])-(Table2423[HARGA POKOK]*Table2423[TERJUAL])</f>
        <v>14500</v>
      </c>
      <c r="J32" s="21">
        <f>(Table2423[HARGA JUAL]*Table2423[TERJUAL])</f>
        <v>45000</v>
      </c>
      <c r="K32" s="21">
        <f>Table2423[HARGA JUAL]*Table2423[SISA]</f>
        <v>2025000</v>
      </c>
      <c r="L32" s="64">
        <f>Table2423[HARGA POKOK]*Table2423[STOK]</f>
        <v>1403000</v>
      </c>
      <c r="M32" s="64">
        <f>Table2423[HARGA JUAL]*Table2423[STOK]</f>
        <v>2070000</v>
      </c>
    </row>
    <row r="33" spans="1:13" x14ac:dyDescent="0.25">
      <c r="A33" s="18">
        <v>29</v>
      </c>
      <c r="B33" s="19" t="s">
        <v>30</v>
      </c>
      <c r="C33" s="19" t="s">
        <v>16</v>
      </c>
      <c r="D33" s="21">
        <v>7500</v>
      </c>
      <c r="E33" s="21">
        <v>10000</v>
      </c>
      <c r="F33" s="63">
        <f>Table24[STOK]-Table24[TERJUAL]</f>
        <v>288</v>
      </c>
      <c r="G33" s="18">
        <v>4</v>
      </c>
      <c r="H33" s="63">
        <f>Table2423[STOK]-Table2423[TERJUAL]</f>
        <v>284</v>
      </c>
      <c r="I33" s="21">
        <f>(Table2423[HARGA JUAL]*Table2423[TERJUAL])-(Table2423[HARGA POKOK]*Table2423[TERJUAL])</f>
        <v>10000</v>
      </c>
      <c r="J33" s="21">
        <f>(Table2423[HARGA JUAL]*Table2423[TERJUAL])</f>
        <v>40000</v>
      </c>
      <c r="K33" s="21">
        <f>Table2423[HARGA JUAL]*Table2423[SISA]</f>
        <v>2840000</v>
      </c>
      <c r="L33" s="64">
        <f>Table2423[HARGA POKOK]*Table2423[STOK]</f>
        <v>2160000</v>
      </c>
      <c r="M33" s="64">
        <f>Table2423[HARGA JUAL]*Table2423[STOK]</f>
        <v>2880000</v>
      </c>
    </row>
    <row r="34" spans="1:13" x14ac:dyDescent="0.25">
      <c r="A34" s="22">
        <v>30</v>
      </c>
      <c r="B34" s="19" t="s">
        <v>35</v>
      </c>
      <c r="C34" s="19" t="s">
        <v>36</v>
      </c>
      <c r="D34" s="21">
        <v>51500</v>
      </c>
      <c r="E34" s="21">
        <v>65000</v>
      </c>
      <c r="F34" s="63">
        <f>Table24[STOK]-Table24[TERJUAL]</f>
        <v>13</v>
      </c>
      <c r="G34" s="18">
        <v>2</v>
      </c>
      <c r="H34" s="63">
        <f>Table2423[STOK]-Table2423[TERJUAL]</f>
        <v>11</v>
      </c>
      <c r="I34" s="21">
        <f>(Table2423[HARGA JUAL]*Table2423[TERJUAL])-(Table2423[HARGA POKOK]*Table2423[TERJUAL])</f>
        <v>27000</v>
      </c>
      <c r="J34" s="21">
        <f>(Table2423[HARGA JUAL]*Table2423[TERJUAL])</f>
        <v>130000</v>
      </c>
      <c r="K34" s="21">
        <f>Table2423[HARGA JUAL]*Table2423[SISA]</f>
        <v>715000</v>
      </c>
      <c r="L34" s="64">
        <f>Table2423[HARGA POKOK]*Table2423[STOK]</f>
        <v>669500</v>
      </c>
      <c r="M34" s="64">
        <f>Table2423[HARGA JUAL]*Table2423[STOK]</f>
        <v>845000</v>
      </c>
    </row>
    <row r="35" spans="1:13" x14ac:dyDescent="0.25">
      <c r="A35" s="18">
        <v>31</v>
      </c>
      <c r="B35" s="19" t="s">
        <v>31</v>
      </c>
      <c r="C35" s="19" t="s">
        <v>61</v>
      </c>
      <c r="D35" s="21">
        <v>20000</v>
      </c>
      <c r="E35" s="21">
        <v>30000</v>
      </c>
      <c r="F35" s="63">
        <f>Table24[STOK]-Table24[TERJUAL]</f>
        <v>53</v>
      </c>
      <c r="G35" s="18">
        <v>4</v>
      </c>
      <c r="H35" s="63">
        <f>Table2423[STOK]-Table2423[TERJUAL]</f>
        <v>49</v>
      </c>
      <c r="I35" s="21">
        <f>(Table2423[HARGA JUAL]*Table2423[TERJUAL])-(Table2423[HARGA POKOK]*Table2423[TERJUAL])</f>
        <v>40000</v>
      </c>
      <c r="J35" s="21">
        <f>(Table2423[HARGA JUAL]*Table2423[TERJUAL])</f>
        <v>120000</v>
      </c>
      <c r="K35" s="21">
        <f>Table2423[HARGA JUAL]*Table2423[SISA]</f>
        <v>1470000</v>
      </c>
      <c r="L35" s="64">
        <f>Table2423[HARGA POKOK]*Table2423[STOK]</f>
        <v>1060000</v>
      </c>
      <c r="M35" s="64">
        <f>Table2423[HARGA JUAL]*Table2423[STOK]</f>
        <v>1590000</v>
      </c>
    </row>
    <row r="36" spans="1:13" x14ac:dyDescent="0.25">
      <c r="A36" s="22">
        <v>32</v>
      </c>
      <c r="B36" s="19" t="s">
        <v>31</v>
      </c>
      <c r="C36" s="19" t="s">
        <v>62</v>
      </c>
      <c r="D36" s="21">
        <v>35000</v>
      </c>
      <c r="E36" s="21">
        <v>40000</v>
      </c>
      <c r="F36" s="63">
        <f>Table24[STOK]-Table24[TERJUAL]</f>
        <v>6</v>
      </c>
      <c r="G36" s="18"/>
      <c r="H36" s="63">
        <f>Table2423[STOK]-Table2423[TERJUAL]</f>
        <v>6</v>
      </c>
      <c r="I36" s="21">
        <f>(Table2423[HARGA JUAL]*Table2423[TERJUAL])-(Table2423[HARGA POKOK]*Table2423[TERJUAL])</f>
        <v>0</v>
      </c>
      <c r="J36" s="21">
        <f>(Table2423[HARGA JUAL]*Table2423[TERJUAL])</f>
        <v>0</v>
      </c>
      <c r="K36" s="21">
        <f>Table2423[HARGA JUAL]*Table2423[SISA]</f>
        <v>240000</v>
      </c>
      <c r="L36" s="64">
        <f>Table2423[HARGA POKOK]*Table2423[STOK]</f>
        <v>210000</v>
      </c>
      <c r="M36" s="64">
        <f>Table2423[HARGA JUAL]*Table2423[STOK]</f>
        <v>240000</v>
      </c>
    </row>
    <row r="37" spans="1:13" x14ac:dyDescent="0.25">
      <c r="A37" s="18">
        <v>33</v>
      </c>
      <c r="B37" s="19" t="s">
        <v>31</v>
      </c>
      <c r="C37" s="19" t="s">
        <v>63</v>
      </c>
      <c r="D37" s="21">
        <v>35000</v>
      </c>
      <c r="E37" s="21">
        <v>40000</v>
      </c>
      <c r="F37" s="63">
        <f>Table24[STOK]-Table24[TERJUAL]</f>
        <v>2</v>
      </c>
      <c r="G37" s="18">
        <v>2</v>
      </c>
      <c r="H37" s="63">
        <f>Table2423[STOK]-Table2423[TERJUAL]</f>
        <v>0</v>
      </c>
      <c r="I37" s="21">
        <f>(Table2423[HARGA JUAL]*Table2423[TERJUAL])-(Table2423[HARGA POKOK]*Table2423[TERJUAL])</f>
        <v>10000</v>
      </c>
      <c r="J37" s="21">
        <f>(Table2423[HARGA JUAL]*Table2423[TERJUAL])</f>
        <v>80000</v>
      </c>
      <c r="K37" s="21">
        <f>Table2423[HARGA JUAL]*Table2423[SISA]</f>
        <v>0</v>
      </c>
      <c r="L37" s="64">
        <f>Table2423[HARGA POKOK]*Table2423[STOK]</f>
        <v>70000</v>
      </c>
      <c r="M37" s="64">
        <f>Table2423[HARGA JUAL]*Table2423[STOK]</f>
        <v>80000</v>
      </c>
    </row>
    <row r="38" spans="1:13" x14ac:dyDescent="0.25">
      <c r="A38" s="22">
        <v>34</v>
      </c>
      <c r="B38" s="19" t="s">
        <v>31</v>
      </c>
      <c r="C38" s="19" t="s">
        <v>17</v>
      </c>
      <c r="D38" s="21">
        <v>35000</v>
      </c>
      <c r="E38" s="21">
        <v>40000</v>
      </c>
      <c r="F38" s="63">
        <f>Table24[STOK]-Table24[TERJUAL]</f>
        <v>0</v>
      </c>
      <c r="G38" s="18"/>
      <c r="H38" s="63">
        <f>Table2423[STOK]-Table2423[TERJUAL]</f>
        <v>0</v>
      </c>
      <c r="I38" s="21">
        <f>(Table2423[HARGA JUAL]*Table2423[TERJUAL])-(Table2423[HARGA POKOK]*Table2423[TERJUAL])</f>
        <v>0</v>
      </c>
      <c r="J38" s="21">
        <f>(Table2423[HARGA JUAL]*Table2423[TERJUAL])</f>
        <v>0</v>
      </c>
      <c r="K38" s="21">
        <f>Table2423[HARGA JUAL]*Table2423[SISA]</f>
        <v>0</v>
      </c>
      <c r="L38" s="64">
        <f>Table2423[HARGA POKOK]*Table2423[STOK]</f>
        <v>0</v>
      </c>
      <c r="M38" s="64">
        <f>Table2423[HARGA JUAL]*Table2423[STOK]</f>
        <v>0</v>
      </c>
    </row>
    <row r="39" spans="1:13" x14ac:dyDescent="0.25">
      <c r="A39" s="18">
        <v>35</v>
      </c>
      <c r="B39" s="19" t="s">
        <v>31</v>
      </c>
      <c r="C39" s="19" t="s">
        <v>64</v>
      </c>
      <c r="D39" s="21">
        <v>35000</v>
      </c>
      <c r="E39" s="21">
        <v>40000</v>
      </c>
      <c r="F39" s="63">
        <f>Table24[STOK]-Table24[TERJUAL]</f>
        <v>8</v>
      </c>
      <c r="G39" s="18">
        <v>1</v>
      </c>
      <c r="H39" s="63">
        <f>Table2423[STOK]-Table2423[TERJUAL]</f>
        <v>7</v>
      </c>
      <c r="I39" s="21">
        <f>(Table2423[HARGA JUAL]*Table2423[TERJUAL])-(Table2423[HARGA POKOK]*Table2423[TERJUAL])</f>
        <v>5000</v>
      </c>
      <c r="J39" s="21">
        <f>(Table2423[HARGA JUAL]*Table2423[TERJUAL])</f>
        <v>40000</v>
      </c>
      <c r="K39" s="21">
        <f>Table2423[HARGA JUAL]*Table2423[SISA]</f>
        <v>280000</v>
      </c>
      <c r="L39" s="64">
        <f>Table2423[HARGA POKOK]*Table2423[STOK]</f>
        <v>280000</v>
      </c>
      <c r="M39" s="64">
        <f>Table2423[HARGA JUAL]*Table2423[STOK]</f>
        <v>320000</v>
      </c>
    </row>
    <row r="40" spans="1:13" x14ac:dyDescent="0.25">
      <c r="A40" s="22">
        <v>36</v>
      </c>
      <c r="B40" s="19" t="s">
        <v>31</v>
      </c>
      <c r="C40" s="19" t="s">
        <v>65</v>
      </c>
      <c r="D40" s="21">
        <v>35000</v>
      </c>
      <c r="E40" s="21">
        <v>40000</v>
      </c>
      <c r="F40" s="63">
        <v>9</v>
      </c>
      <c r="G40" s="18"/>
      <c r="H40" s="63">
        <v>7</v>
      </c>
      <c r="I40" s="21">
        <f>(Table2423[HARGA JUAL]*Table2423[TERJUAL])-(Table2423[HARGA POKOK]*Table2423[TERJUAL])</f>
        <v>0</v>
      </c>
      <c r="J40" s="21">
        <f>(Table2423[HARGA JUAL]*Table2423[TERJUAL])</f>
        <v>0</v>
      </c>
      <c r="K40" s="21">
        <f>Table2423[HARGA JUAL]*Table2423[SISA]</f>
        <v>280000</v>
      </c>
      <c r="L40" s="64">
        <f>Table2423[HARGA POKOK]*Table2423[STOK]</f>
        <v>315000</v>
      </c>
      <c r="M40" s="64">
        <f>Table2423[HARGA JUAL]*Table2423[STOK]</f>
        <v>360000</v>
      </c>
    </row>
    <row r="41" spans="1:13" x14ac:dyDescent="0.25">
      <c r="A41" s="18">
        <v>37</v>
      </c>
      <c r="B41" s="19" t="s">
        <v>31</v>
      </c>
      <c r="C41" s="83" t="s">
        <v>66</v>
      </c>
      <c r="D41" s="24">
        <v>35000</v>
      </c>
      <c r="E41" s="24">
        <v>40000</v>
      </c>
      <c r="F41" s="65">
        <f>Table24[STOK]-Table24[TERJUAL]</f>
        <v>9</v>
      </c>
      <c r="G41" s="22">
        <v>2</v>
      </c>
      <c r="H41" s="65">
        <f>Table2423[STOK]-Table2423[TERJUAL]</f>
        <v>7</v>
      </c>
      <c r="I41" s="21">
        <f>(Table2423[HARGA JUAL]*Table2423[TERJUAL])-(Table2423[HARGA POKOK]*Table2423[TERJUAL])</f>
        <v>10000</v>
      </c>
      <c r="J41" s="24">
        <f>(Table2423[HARGA JUAL]*Table2423[TERJUAL])</f>
        <v>80000</v>
      </c>
      <c r="K41" s="24">
        <f>Table2423[HARGA JUAL]*Table2423[SISA]</f>
        <v>280000</v>
      </c>
      <c r="L41" s="64">
        <f>Table2423[HARGA POKOK]*Table2423[STOK]</f>
        <v>315000</v>
      </c>
      <c r="M41" s="64">
        <f>Table2423[HARGA JUAL]*Table2423[STOK]</f>
        <v>360000</v>
      </c>
    </row>
    <row r="42" spans="1:13" x14ac:dyDescent="0.25">
      <c r="A42" s="22">
        <v>38</v>
      </c>
      <c r="B42" s="19" t="s">
        <v>31</v>
      </c>
      <c r="C42" s="19" t="s">
        <v>67</v>
      </c>
      <c r="D42" s="21">
        <v>27500</v>
      </c>
      <c r="E42" s="21">
        <v>40000</v>
      </c>
      <c r="F42" s="63">
        <f>Table24[STOK]-Table24[TERJUAL]</f>
        <v>87</v>
      </c>
      <c r="G42" s="18"/>
      <c r="H42" s="63">
        <f>Table2423[STOK]-Table2423[TERJUAL]</f>
        <v>87</v>
      </c>
      <c r="I42" s="21">
        <f>(Table2423[HARGA JUAL]*Table2423[TERJUAL])-(Table2423[HARGA POKOK]*Table2423[TERJUAL])</f>
        <v>0</v>
      </c>
      <c r="J42" s="21">
        <f>(Table2423[HARGA JUAL]*Table2423[TERJUAL])</f>
        <v>0</v>
      </c>
      <c r="K42" s="21">
        <f>Table2423[HARGA JUAL]*Table2423[SISA]</f>
        <v>3480000</v>
      </c>
      <c r="L42" s="64">
        <f>Table2423[HARGA POKOK]*Table2423[STOK]</f>
        <v>2392500</v>
      </c>
      <c r="M42" s="64">
        <f>Table2423[HARGA JUAL]*Table2423[STOK]</f>
        <v>3480000</v>
      </c>
    </row>
    <row r="43" spans="1:13" x14ac:dyDescent="0.25">
      <c r="A43" s="18">
        <v>39</v>
      </c>
      <c r="B43" s="19" t="s">
        <v>32</v>
      </c>
      <c r="C43" s="19" t="s">
        <v>18</v>
      </c>
      <c r="D43" s="21">
        <v>1700</v>
      </c>
      <c r="E43" s="21">
        <v>5000</v>
      </c>
      <c r="F43" s="63">
        <f>Table24[STOK]-Table24[TERJUAL]</f>
        <v>0</v>
      </c>
      <c r="G43" s="18"/>
      <c r="H43" s="63">
        <f>Table2423[STOK]-Table2423[TERJUAL]</f>
        <v>0</v>
      </c>
      <c r="I43" s="21">
        <f>(Table2423[HARGA JUAL]*Table2423[TERJUAL])-(Table2423[HARGA POKOK]*Table2423[TERJUAL])</f>
        <v>0</v>
      </c>
      <c r="J43" s="21">
        <f>(Table2423[HARGA JUAL]*Table2423[TERJUAL])</f>
        <v>0</v>
      </c>
      <c r="K43" s="21">
        <f>Table2423[HARGA JUAL]*Table2423[SISA]</f>
        <v>0</v>
      </c>
      <c r="L43" s="64">
        <f>Table2423[HARGA POKOK]*Table2423[STOK]</f>
        <v>0</v>
      </c>
      <c r="M43" s="64">
        <f>Table2423[HARGA JUAL]*Table2423[STOK]</f>
        <v>0</v>
      </c>
    </row>
    <row r="44" spans="1:13" x14ac:dyDescent="0.25">
      <c r="A44" s="22">
        <v>40</v>
      </c>
      <c r="B44" s="19" t="s">
        <v>32</v>
      </c>
      <c r="C44" s="19" t="s">
        <v>21</v>
      </c>
      <c r="D44" s="21">
        <v>30500</v>
      </c>
      <c r="E44" s="21">
        <v>45000</v>
      </c>
      <c r="F44" s="63">
        <f>Table24[STOK]-Table24[TERJUAL]</f>
        <v>2</v>
      </c>
      <c r="G44" s="18"/>
      <c r="H44" s="63">
        <f>Table2423[STOK]-Table2423[TERJUAL]</f>
        <v>2</v>
      </c>
      <c r="I44" s="21">
        <f>(Table2423[HARGA JUAL]*Table2423[TERJUAL])-(Table2423[HARGA POKOK]*Table2423[TERJUAL])</f>
        <v>0</v>
      </c>
      <c r="J44" s="21">
        <f>(Table2423[HARGA JUAL]*Table2423[TERJUAL])</f>
        <v>0</v>
      </c>
      <c r="K44" s="21">
        <f>Table2423[HARGA JUAL]*Table2423[SISA]</f>
        <v>90000</v>
      </c>
      <c r="L44" s="64">
        <f>Table2423[HARGA POKOK]*Table2423[STOK]</f>
        <v>61000</v>
      </c>
      <c r="M44" s="64">
        <f>Table2423[HARGA JUAL]*Table2423[STOK]</f>
        <v>90000</v>
      </c>
    </row>
    <row r="45" spans="1:13" x14ac:dyDescent="0.25">
      <c r="A45" s="18">
        <v>41</v>
      </c>
      <c r="B45" s="19" t="s">
        <v>32</v>
      </c>
      <c r="C45" s="19" t="s">
        <v>20</v>
      </c>
      <c r="D45" s="21">
        <v>1500</v>
      </c>
      <c r="E45" s="21">
        <v>5000</v>
      </c>
      <c r="F45" s="63">
        <f>Table24[STOK]-Table24[TERJUAL]</f>
        <v>3</v>
      </c>
      <c r="G45" s="18">
        <v>3</v>
      </c>
      <c r="H45" s="63">
        <f>Table2423[STOK]-Table2423[TERJUAL]</f>
        <v>0</v>
      </c>
      <c r="I45" s="21">
        <f>(Table2423[HARGA JUAL]*Table2423[TERJUAL])-(Table2423[HARGA POKOK]*Table2423[TERJUAL])</f>
        <v>10500</v>
      </c>
      <c r="J45" s="21">
        <f>(Table2423[HARGA JUAL]*Table2423[TERJUAL])</f>
        <v>15000</v>
      </c>
      <c r="K45" s="21">
        <f>Table2423[HARGA JUAL]*Table2423[SISA]</f>
        <v>0</v>
      </c>
      <c r="L45" s="64">
        <f>Table2423[HARGA POKOK]*Table2423[STOK]</f>
        <v>4500</v>
      </c>
      <c r="M45" s="64">
        <f>Table2423[HARGA JUAL]*Table2423[STOK]</f>
        <v>15000</v>
      </c>
    </row>
    <row r="46" spans="1:13" x14ac:dyDescent="0.25">
      <c r="A46" s="22">
        <v>42</v>
      </c>
      <c r="B46" s="19" t="s">
        <v>32</v>
      </c>
      <c r="C46" s="19" t="s">
        <v>23</v>
      </c>
      <c r="D46" s="21">
        <v>25250</v>
      </c>
      <c r="E46" s="21">
        <v>40000</v>
      </c>
      <c r="F46" s="63">
        <f>Table24[STOK]-Table24[TERJUAL]</f>
        <v>5</v>
      </c>
      <c r="G46" s="18"/>
      <c r="H46" s="63">
        <f>Table2423[STOK]-Table2423[TERJUAL]</f>
        <v>5</v>
      </c>
      <c r="I46" s="21">
        <f>(Table2423[HARGA JUAL]*Table2423[TERJUAL])-(Table2423[HARGA POKOK]*Table2423[TERJUAL])</f>
        <v>0</v>
      </c>
      <c r="J46" s="21">
        <f>(Table2423[HARGA JUAL]*Table2423[TERJUAL])</f>
        <v>0</v>
      </c>
      <c r="K46" s="21">
        <f>Table2423[HARGA JUAL]*Table2423[SISA]</f>
        <v>200000</v>
      </c>
      <c r="L46" s="64">
        <f>Table2423[HARGA POKOK]*Table2423[STOK]</f>
        <v>126250</v>
      </c>
      <c r="M46" s="64">
        <f>Table2423[HARGA JUAL]*Table2423[STOK]</f>
        <v>200000</v>
      </c>
    </row>
    <row r="47" spans="1:13" x14ac:dyDescent="0.25">
      <c r="A47" s="18">
        <v>43</v>
      </c>
      <c r="B47" s="19" t="s">
        <v>32</v>
      </c>
      <c r="C47" s="19" t="s">
        <v>19</v>
      </c>
      <c r="D47" s="21">
        <v>1500</v>
      </c>
      <c r="E47" s="21">
        <v>5000</v>
      </c>
      <c r="F47" s="63">
        <f>Table24[STOK]-Table24[TERJUAL]</f>
        <v>0</v>
      </c>
      <c r="G47" s="18"/>
      <c r="H47" s="63">
        <f>Table2423[STOK]-Table2423[TERJUAL]</f>
        <v>0</v>
      </c>
      <c r="I47" s="21">
        <f>(Table2423[HARGA JUAL]*Table2423[TERJUAL])-(Table2423[HARGA POKOK]*Table2423[TERJUAL])</f>
        <v>0</v>
      </c>
      <c r="J47" s="21">
        <f>(Table2423[HARGA JUAL]*Table2423[TERJUAL])</f>
        <v>0</v>
      </c>
      <c r="K47" s="21">
        <f>Table2423[HARGA JUAL]*Table2423[SISA]</f>
        <v>0</v>
      </c>
      <c r="L47" s="64">
        <f>Table2423[HARGA POKOK]*Table2423[STOK]</f>
        <v>0</v>
      </c>
      <c r="M47" s="64">
        <f>Table2423[HARGA JUAL]*Table2423[STOK]</f>
        <v>0</v>
      </c>
    </row>
    <row r="48" spans="1:13" x14ac:dyDescent="0.25">
      <c r="A48" s="22">
        <v>44</v>
      </c>
      <c r="B48" s="19" t="s">
        <v>32</v>
      </c>
      <c r="C48" s="19" t="s">
        <v>22</v>
      </c>
      <c r="D48" s="21">
        <v>27500</v>
      </c>
      <c r="E48" s="21">
        <v>40000</v>
      </c>
      <c r="F48" s="63">
        <f>Table24[STOK]-Table24[TERJUAL]</f>
        <v>3</v>
      </c>
      <c r="G48" s="18">
        <v>1</v>
      </c>
      <c r="H48" s="63">
        <f>Table2423[STOK]-Table2423[TERJUAL]</f>
        <v>2</v>
      </c>
      <c r="I48" s="21">
        <f>(Table2423[HARGA JUAL]*Table2423[TERJUAL])-(Table2423[HARGA POKOK]*Table2423[TERJUAL])</f>
        <v>12500</v>
      </c>
      <c r="J48" s="21">
        <f>(Table2423[HARGA JUAL]*Table2423[TERJUAL])</f>
        <v>40000</v>
      </c>
      <c r="K48" s="21">
        <f>Table2423[HARGA JUAL]*Table2423[SISA]</f>
        <v>80000</v>
      </c>
      <c r="L48" s="64">
        <f>Table2423[HARGA POKOK]*Table2423[STOK]</f>
        <v>82500</v>
      </c>
      <c r="M48" s="64">
        <f>Table2423[HARGA JUAL]*Table2423[STOK]</f>
        <v>120000</v>
      </c>
    </row>
    <row r="49" spans="1:13" x14ac:dyDescent="0.25">
      <c r="A49" s="18">
        <v>45</v>
      </c>
      <c r="B49" s="19" t="s">
        <v>32</v>
      </c>
      <c r="C49" s="19" t="s">
        <v>24</v>
      </c>
      <c r="D49" s="21">
        <v>17500</v>
      </c>
      <c r="E49" s="21">
        <v>40000</v>
      </c>
      <c r="F49" s="63">
        <f>Table24[STOK]-Table24[TERJUAL]</f>
        <v>30</v>
      </c>
      <c r="G49" s="18">
        <v>8</v>
      </c>
      <c r="H49" s="63">
        <f>Table2423[STOK]-Table2423[TERJUAL]</f>
        <v>22</v>
      </c>
      <c r="I49" s="21">
        <f>(Table2423[HARGA JUAL]*Table2423[TERJUAL])-(Table2423[HARGA POKOK]*Table2423[TERJUAL])</f>
        <v>180000</v>
      </c>
      <c r="J49" s="21">
        <f>(Table2423[HARGA JUAL]*Table2423[TERJUAL])</f>
        <v>320000</v>
      </c>
      <c r="K49" s="21">
        <f>Table2423[HARGA JUAL]*Table2423[SISA]</f>
        <v>880000</v>
      </c>
      <c r="L49" s="64">
        <f>Table2423[HARGA POKOK]*Table2423[STOK]</f>
        <v>525000</v>
      </c>
      <c r="M49" s="64">
        <f>Table2423[HARGA JUAL]*Table2423[STOK]</f>
        <v>1200000</v>
      </c>
    </row>
    <row r="50" spans="1:13" x14ac:dyDescent="0.25">
      <c r="A50" s="22">
        <v>46</v>
      </c>
      <c r="B50" s="83" t="s">
        <v>33</v>
      </c>
      <c r="C50" s="83" t="s">
        <v>37</v>
      </c>
      <c r="D50" s="24">
        <v>8700</v>
      </c>
      <c r="E50" s="24">
        <v>15000</v>
      </c>
      <c r="F50" s="65">
        <f>Table24[STOK]-Table24[TERJUAL]</f>
        <v>13</v>
      </c>
      <c r="G50" s="22">
        <v>5</v>
      </c>
      <c r="H50" s="65">
        <f>Table2423[STOK]-Table2423[TERJUAL]</f>
        <v>8</v>
      </c>
      <c r="I50" s="21">
        <f>(Table2423[HARGA JUAL]*Table2423[TERJUAL])-(Table2423[HARGA POKOK]*Table2423[TERJUAL])</f>
        <v>31500</v>
      </c>
      <c r="J50" s="24">
        <f>(Table2423[HARGA JUAL]*Table2423[TERJUAL])</f>
        <v>75000</v>
      </c>
      <c r="K50" s="24">
        <f>Table2423[HARGA JUAL]*Table2423[SISA]</f>
        <v>120000</v>
      </c>
      <c r="L50" s="64">
        <f>Table2423[HARGA POKOK]*Table2423[STOK]</f>
        <v>113100</v>
      </c>
      <c r="M50" s="64">
        <f>Table2423[HARGA JUAL]*Table2423[STOK]</f>
        <v>195000</v>
      </c>
    </row>
    <row r="51" spans="1:13" x14ac:dyDescent="0.25">
      <c r="A51" s="18">
        <v>47</v>
      </c>
      <c r="B51" s="83" t="s">
        <v>33</v>
      </c>
      <c r="C51" s="19" t="s">
        <v>25</v>
      </c>
      <c r="D51" s="21">
        <v>8800</v>
      </c>
      <c r="E51" s="21">
        <v>15000</v>
      </c>
      <c r="F51" s="63">
        <f>Table24[STOK]-Table24[TERJUAL]</f>
        <v>10</v>
      </c>
      <c r="G51" s="18">
        <v>4</v>
      </c>
      <c r="H51" s="63">
        <f>Table2423[STOK]-Table2423[TERJUAL]</f>
        <v>6</v>
      </c>
      <c r="I51" s="21">
        <f>(Table2423[HARGA JUAL]*Table2423[TERJUAL])-(Table2423[HARGA POKOK]*Table2423[TERJUAL])</f>
        <v>24800</v>
      </c>
      <c r="J51" s="21">
        <f>(Table2423[HARGA JUAL]*Table2423[TERJUAL])</f>
        <v>60000</v>
      </c>
      <c r="K51" s="21">
        <f>Table2423[HARGA JUAL]*Table2423[SISA]</f>
        <v>90000</v>
      </c>
      <c r="L51" s="64">
        <f>Table2423[HARGA POKOK]*Table2423[STOK]</f>
        <v>88000</v>
      </c>
      <c r="M51" s="64">
        <f>Table2423[HARGA JUAL]*Table2423[STOK]</f>
        <v>150000</v>
      </c>
    </row>
    <row r="52" spans="1:13" x14ac:dyDescent="0.25">
      <c r="A52" s="22">
        <v>48</v>
      </c>
      <c r="B52" s="83" t="s">
        <v>33</v>
      </c>
      <c r="C52" s="19" t="s">
        <v>26</v>
      </c>
      <c r="D52" s="21">
        <v>315000</v>
      </c>
      <c r="E52" s="21">
        <v>475000</v>
      </c>
      <c r="F52" s="63">
        <f>Table24[STOK]-Table24[TERJUAL]</f>
        <v>168</v>
      </c>
      <c r="G52" s="18">
        <v>18</v>
      </c>
      <c r="H52" s="63">
        <f>Table2423[STOK]-Table2423[TERJUAL]</f>
        <v>150</v>
      </c>
      <c r="I52" s="21">
        <f>(Table2423[HARGA JUAL]*Table2423[TERJUAL])-(Table2423[HARGA POKOK]*Table2423[TERJUAL])</f>
        <v>2880000</v>
      </c>
      <c r="J52" s="21">
        <f>(Table2423[HARGA JUAL]*Table2423[TERJUAL])</f>
        <v>8550000</v>
      </c>
      <c r="K52" s="21">
        <f>Table2423[HARGA JUAL]*Table2423[SISA]</f>
        <v>71250000</v>
      </c>
      <c r="L52" s="64">
        <f>Table2423[HARGA POKOK]*Table2423[STOK]</f>
        <v>52920000</v>
      </c>
      <c r="M52" s="64">
        <f>Table2423[HARGA JUAL]*Table2423[STOK]</f>
        <v>79800000</v>
      </c>
    </row>
    <row r="53" spans="1:13" x14ac:dyDescent="0.25">
      <c r="A53" s="18">
        <v>49</v>
      </c>
      <c r="B53" s="83" t="s">
        <v>34</v>
      </c>
      <c r="C53" s="83" t="s">
        <v>78</v>
      </c>
      <c r="D53" s="24">
        <v>335000</v>
      </c>
      <c r="E53" s="24">
        <v>490000</v>
      </c>
      <c r="F53" s="65">
        <f>Table24[STOK]-Table24[TERJUAL]</f>
        <v>0</v>
      </c>
      <c r="G53" s="22"/>
      <c r="H53" s="65">
        <f>Table2423[STOK]-Table2423[TERJUAL]</f>
        <v>0</v>
      </c>
      <c r="I53" s="21">
        <f>(Table2423[HARGA JUAL]*Table2423[TERJUAL])-(Table2423[HARGA POKOK]*Table2423[TERJUAL])</f>
        <v>0</v>
      </c>
      <c r="J53" s="24">
        <f>(Table2423[HARGA JUAL]*Table2423[TERJUAL])</f>
        <v>0</v>
      </c>
      <c r="K53" s="24">
        <f>Table2423[HARGA JUAL]*Table2423[SISA]</f>
        <v>0</v>
      </c>
      <c r="L53" s="64">
        <f>Table2423[HARGA POKOK]*Table2423[STOK]</f>
        <v>0</v>
      </c>
      <c r="M53" s="64">
        <f>Table2423[HARGA JUAL]*Table2423[STOK]</f>
        <v>0</v>
      </c>
    </row>
    <row r="54" spans="1:13" x14ac:dyDescent="0.25">
      <c r="A54" s="29">
        <v>50</v>
      </c>
      <c r="B54" s="30" t="s">
        <v>40</v>
      </c>
      <c r="C54" s="30" t="s">
        <v>79</v>
      </c>
      <c r="D54" s="31">
        <v>25000</v>
      </c>
      <c r="E54" s="31">
        <v>40000</v>
      </c>
      <c r="F54" s="66"/>
      <c r="G54" s="29">
        <v>2</v>
      </c>
      <c r="H54" s="66">
        <f>Table2423[STOK]-Table2423[TERJUAL]</f>
        <v>-2</v>
      </c>
      <c r="I54" s="67">
        <f>(Table2423[HARGA JUAL]*Table2423[TERJUAL])-(Table2423[HARGA POKOK]*Table2423[TERJUAL])</f>
        <v>30000</v>
      </c>
      <c r="J54" s="31">
        <f>(Table2423[HARGA JUAL]*Table2423[TERJUAL])</f>
        <v>80000</v>
      </c>
      <c r="K54" s="31"/>
      <c r="L54" s="68"/>
      <c r="M54" s="68"/>
    </row>
    <row r="55" spans="1:13" x14ac:dyDescent="0.25">
      <c r="A55" s="37">
        <v>51</v>
      </c>
      <c r="B55" s="30" t="s">
        <v>71</v>
      </c>
      <c r="C55" s="30" t="s">
        <v>70</v>
      </c>
      <c r="D55" s="31">
        <v>1000</v>
      </c>
      <c r="E55" s="31">
        <v>1700</v>
      </c>
      <c r="F55" s="66"/>
      <c r="G55" s="29">
        <v>13</v>
      </c>
      <c r="H55" s="66">
        <f>Table2423[STOK]-Table2423[TERJUAL]</f>
        <v>-13</v>
      </c>
      <c r="I55" s="67">
        <f>(Table2423[HARGA JUAL]*Table2423[TERJUAL])-(Table2423[HARGA POKOK]*Table2423[TERJUAL])</f>
        <v>9100</v>
      </c>
      <c r="J55" s="31">
        <f>(Table2423[HARGA JUAL]*Table2423[TERJUAL])</f>
        <v>22100</v>
      </c>
      <c r="K55" s="31"/>
      <c r="L55" s="68"/>
      <c r="M55" s="68"/>
    </row>
    <row r="56" spans="1:13" x14ac:dyDescent="0.25">
      <c r="A56" s="29">
        <v>52</v>
      </c>
      <c r="B56" s="30" t="s">
        <v>68</v>
      </c>
      <c r="C56" s="30" t="s">
        <v>69</v>
      </c>
      <c r="D56" s="38">
        <v>6300</v>
      </c>
      <c r="E56" s="31">
        <v>10000</v>
      </c>
      <c r="F56" s="66"/>
      <c r="G56" s="29">
        <v>713</v>
      </c>
      <c r="H56" s="66">
        <f>Table2423[STOK]-Table2423[TERJUAL]</f>
        <v>-713</v>
      </c>
      <c r="I56" s="67">
        <f>(Table2423[HARGA JUAL]*Table2423[TERJUAL])-(Table2423[HARGA POKOK]*Table2423[TERJUAL])</f>
        <v>2638100</v>
      </c>
      <c r="J56" s="31">
        <f>(Table2423[HARGA JUAL]*Table2423[TERJUAL])</f>
        <v>7130000</v>
      </c>
      <c r="K56" s="31"/>
      <c r="L56" s="68"/>
      <c r="M56" s="68"/>
    </row>
    <row r="57" spans="1:13" ht="15.75" thickBot="1" x14ac:dyDescent="0.3">
      <c r="A57" s="37">
        <v>53</v>
      </c>
      <c r="B57" s="30" t="s">
        <v>74</v>
      </c>
      <c r="C57" s="30" t="s">
        <v>80</v>
      </c>
      <c r="D57" s="38">
        <v>6700</v>
      </c>
      <c r="E57" s="31">
        <v>11000</v>
      </c>
      <c r="F57" s="66"/>
      <c r="G57" s="29"/>
      <c r="H57" s="66">
        <f>Table2423[STOK]-Table2423[TERJUAL]</f>
        <v>0</v>
      </c>
      <c r="I57" s="67">
        <f>(Table2423[HARGA JUAL]*Table2423[TERJUAL])-(Table2423[HARGA POKOK]*Table2423[TERJUAL])</f>
        <v>0</v>
      </c>
      <c r="J57" s="31">
        <f>(Table2423[HARGA JUAL]*Table2423[TERJUAL])</f>
        <v>0</v>
      </c>
      <c r="K57" s="31"/>
      <c r="L57" s="68"/>
      <c r="M57" s="68"/>
    </row>
    <row r="58" spans="1:13" ht="19.5" thickBot="1" x14ac:dyDescent="0.3">
      <c r="A58" s="378" t="s">
        <v>8</v>
      </c>
      <c r="B58" s="379"/>
      <c r="C58" s="379"/>
      <c r="D58" s="379"/>
      <c r="E58" s="380"/>
      <c r="F58" s="69"/>
      <c r="G58" s="69"/>
      <c r="H58" s="70"/>
      <c r="I58" s="71">
        <f>SUM(I5:I57)</f>
        <v>9032000</v>
      </c>
      <c r="J58" s="72">
        <f>SUM(J5:J57)</f>
        <v>31488100</v>
      </c>
      <c r="K58" s="71">
        <f>SUBTOTAL(109,Table2423[TOTAL HARGA SISA BARANG])</f>
        <v>200838000</v>
      </c>
      <c r="L58" s="73">
        <f>SUM(L5:L57)</f>
        <v>162067850</v>
      </c>
      <c r="M58" s="73">
        <f>SUM(M5:M57)</f>
        <v>225174000</v>
      </c>
    </row>
    <row r="59" spans="1:13" x14ac:dyDescent="0.25">
      <c r="B59" s="18"/>
      <c r="C59" s="19"/>
      <c r="G59" s="18"/>
      <c r="H59" s="59"/>
      <c r="I59" s="60"/>
      <c r="J59" s="60"/>
      <c r="K59" s="60"/>
      <c r="L59" s="18"/>
      <c r="M59" s="18"/>
    </row>
    <row r="60" spans="1:13" x14ac:dyDescent="0.25">
      <c r="A60" s="74"/>
      <c r="B60" s="75"/>
      <c r="C60" s="76"/>
      <c r="E60" s="361" t="s">
        <v>91</v>
      </c>
      <c r="F60" s="361"/>
      <c r="G60" s="361"/>
      <c r="H60" s="361"/>
      <c r="I60" s="361"/>
      <c r="J60" s="361"/>
      <c r="K60" s="84"/>
      <c r="L60" s="18"/>
      <c r="M60" s="18"/>
    </row>
    <row r="61" spans="1:13" ht="30" customHeight="1" x14ac:dyDescent="0.25">
      <c r="A61" s="74"/>
      <c r="C61" s="376" t="s">
        <v>121</v>
      </c>
      <c r="E61" s="367" t="s">
        <v>118</v>
      </c>
      <c r="F61" s="367"/>
      <c r="G61" s="367"/>
      <c r="H61" s="374">
        <v>40000</v>
      </c>
      <c r="I61" s="374"/>
      <c r="J61" s="367" t="s">
        <v>122</v>
      </c>
      <c r="K61" s="367"/>
      <c r="L61" s="367"/>
      <c r="M61" s="74"/>
    </row>
    <row r="62" spans="1:13" ht="22.5" customHeight="1" x14ac:dyDescent="0.25">
      <c r="A62" s="74"/>
      <c r="C62" s="377"/>
      <c r="E62" s="375" t="s">
        <v>123</v>
      </c>
      <c r="F62" s="375"/>
      <c r="G62" s="375"/>
      <c r="H62" s="374"/>
      <c r="I62" s="374"/>
      <c r="J62" s="77"/>
      <c r="K62" s="77"/>
      <c r="L62" s="77"/>
      <c r="M62" s="77"/>
    </row>
    <row r="63" spans="1:13" ht="14.25" customHeight="1" x14ac:dyDescent="0.25">
      <c r="A63" s="74"/>
      <c r="B63" s="78"/>
      <c r="C63" s="76"/>
      <c r="E63" s="375"/>
      <c r="F63" s="375"/>
      <c r="G63" s="375"/>
      <c r="H63" s="374">
        <v>210000</v>
      </c>
      <c r="I63" s="374"/>
      <c r="J63" s="367" t="s">
        <v>124</v>
      </c>
      <c r="K63" s="367"/>
      <c r="L63" s="367"/>
      <c r="M63" s="74"/>
    </row>
    <row r="64" spans="1:13" x14ac:dyDescent="0.25">
      <c r="B64" s="79"/>
      <c r="C64" s="76"/>
      <c r="E64" s="367"/>
      <c r="F64" s="367"/>
      <c r="G64" s="367"/>
      <c r="H64" s="374"/>
      <c r="I64" s="374"/>
      <c r="J64" s="367"/>
      <c r="K64" s="367"/>
      <c r="L64" s="367"/>
      <c r="M64" s="18"/>
    </row>
    <row r="65" spans="2:13" x14ac:dyDescent="0.25">
      <c r="B65" s="79" t="s">
        <v>120</v>
      </c>
      <c r="C65" s="76"/>
      <c r="E65" s="368" t="s">
        <v>8</v>
      </c>
      <c r="F65" s="368"/>
      <c r="G65" s="368"/>
      <c r="H65" s="371">
        <f>SUM(H61:H64)</f>
        <v>250000</v>
      </c>
      <c r="I65" s="371"/>
      <c r="J65" s="80"/>
      <c r="K65" s="74"/>
      <c r="L65" s="22"/>
      <c r="M65" s="18"/>
    </row>
    <row r="66" spans="2:13" x14ac:dyDescent="0.25">
      <c r="B66" s="18"/>
      <c r="C66" s="19"/>
      <c r="E66" s="80"/>
      <c r="F66" s="370"/>
      <c r="G66" s="370"/>
      <c r="H66" s="370"/>
      <c r="I66" s="370"/>
      <c r="J66" s="370"/>
      <c r="K66" s="22"/>
      <c r="L66" s="22"/>
      <c r="M66" s="18"/>
    </row>
    <row r="67" spans="2:13" x14ac:dyDescent="0.25">
      <c r="B67" s="18"/>
      <c r="C67" s="19"/>
      <c r="E67" s="80" t="s">
        <v>82</v>
      </c>
      <c r="F67" s="81"/>
      <c r="G67" s="372">
        <f>SUBTOTAL(109,Table2423[TOTAL H. B. LAKU TERJUAL])</f>
        <v>31488100</v>
      </c>
      <c r="H67" s="372"/>
      <c r="I67" s="372"/>
      <c r="J67" s="80"/>
      <c r="K67" s="74"/>
      <c r="L67" s="22"/>
      <c r="M67" s="18"/>
    </row>
    <row r="68" spans="2:13" x14ac:dyDescent="0.25">
      <c r="B68" s="18"/>
      <c r="C68" s="19"/>
      <c r="E68" s="80" t="s">
        <v>83</v>
      </c>
      <c r="F68" s="82" t="s">
        <v>84</v>
      </c>
      <c r="G68" s="373">
        <v>250000</v>
      </c>
      <c r="H68" s="373"/>
      <c r="I68" s="373"/>
      <c r="J68" s="80"/>
      <c r="K68" s="74"/>
      <c r="L68" s="22"/>
      <c r="M68" s="18"/>
    </row>
    <row r="69" spans="2:13" x14ac:dyDescent="0.25">
      <c r="B69" s="18"/>
      <c r="C69" s="19"/>
      <c r="E69" s="80" t="s">
        <v>8</v>
      </c>
      <c r="F69" s="80"/>
      <c r="G69" s="369">
        <f>(G67-G68)</f>
        <v>31238100</v>
      </c>
      <c r="H69" s="369"/>
      <c r="I69" s="369"/>
      <c r="J69" s="80"/>
      <c r="K69" s="74"/>
      <c r="L69" s="22"/>
      <c r="M69" s="18"/>
    </row>
    <row r="71" spans="2:13" ht="18.75" x14ac:dyDescent="0.3">
      <c r="B71" s="360" t="s">
        <v>99</v>
      </c>
      <c r="C71" s="360"/>
      <c r="D71" s="360"/>
      <c r="E71" s="360"/>
    </row>
    <row r="72" spans="2:13" ht="18.75" x14ac:dyDescent="0.3">
      <c r="B72" s="360" t="s">
        <v>130</v>
      </c>
      <c r="C72" s="360"/>
      <c r="D72" s="360"/>
      <c r="E72" s="360"/>
    </row>
    <row r="73" spans="2:13" ht="18.75" x14ac:dyDescent="0.3">
      <c r="B73" s="360" t="s">
        <v>75</v>
      </c>
      <c r="C73" s="360"/>
      <c r="D73" s="360"/>
      <c r="E73" s="360"/>
    </row>
    <row r="74" spans="2:13" x14ac:dyDescent="0.25">
      <c r="B74"/>
      <c r="C74"/>
      <c r="D74"/>
      <c r="E74"/>
    </row>
    <row r="75" spans="2:13" ht="15.75" x14ac:dyDescent="0.25">
      <c r="B75" s="356" t="s">
        <v>111</v>
      </c>
      <c r="C75" s="357"/>
      <c r="D75" s="356" t="s">
        <v>77</v>
      </c>
      <c r="E75" s="357"/>
    </row>
    <row r="76" spans="2:13" ht="15.75" x14ac:dyDescent="0.25">
      <c r="B76" s="242" t="s">
        <v>103</v>
      </c>
      <c r="C76" s="243"/>
      <c r="D76" s="48"/>
      <c r="E76" s="48"/>
    </row>
    <row r="77" spans="2:13" ht="15.75" x14ac:dyDescent="0.25">
      <c r="B77" s="354" t="s">
        <v>102</v>
      </c>
      <c r="C77" s="355"/>
      <c r="D77" s="46">
        <v>31238100</v>
      </c>
      <c r="E77" s="46"/>
    </row>
    <row r="78" spans="2:13" ht="15.75" x14ac:dyDescent="0.25">
      <c r="B78" s="356" t="s">
        <v>104</v>
      </c>
      <c r="C78" s="357"/>
      <c r="D78" s="46"/>
      <c r="E78" s="47">
        <v>31238100</v>
      </c>
    </row>
    <row r="79" spans="2:13" ht="15.75" x14ac:dyDescent="0.25">
      <c r="B79" s="350" t="s">
        <v>106</v>
      </c>
      <c r="C79" s="351"/>
      <c r="D79" s="46"/>
      <c r="E79" s="46">
        <v>22206100</v>
      </c>
    </row>
    <row r="80" spans="2:13" ht="15.75" x14ac:dyDescent="0.25">
      <c r="B80" s="358" t="s">
        <v>114</v>
      </c>
      <c r="C80" s="359"/>
      <c r="D80" s="49"/>
      <c r="E80" s="50">
        <f>(E78-E79)</f>
        <v>9032000</v>
      </c>
    </row>
    <row r="81" spans="2:5" ht="15.75" x14ac:dyDescent="0.25">
      <c r="B81" s="346" t="s">
        <v>105</v>
      </c>
      <c r="C81" s="347"/>
      <c r="D81" s="46"/>
      <c r="E81" s="54"/>
    </row>
    <row r="82" spans="2:5" ht="15.75" x14ac:dyDescent="0.25">
      <c r="B82" s="348" t="s">
        <v>97</v>
      </c>
      <c r="C82" s="349"/>
      <c r="D82" s="46">
        <v>2000000</v>
      </c>
      <c r="E82" s="46"/>
    </row>
    <row r="83" spans="2:5" ht="15.75" x14ac:dyDescent="0.25">
      <c r="B83" s="350" t="s">
        <v>98</v>
      </c>
      <c r="C83" s="351"/>
      <c r="D83" s="46">
        <v>416000</v>
      </c>
      <c r="E83" s="46"/>
    </row>
    <row r="84" spans="2:5" ht="15.75" x14ac:dyDescent="0.25">
      <c r="B84" s="344" t="s">
        <v>113</v>
      </c>
      <c r="C84" s="345"/>
      <c r="D84" s="46">
        <v>151000</v>
      </c>
      <c r="E84" s="46"/>
    </row>
    <row r="85" spans="2:5" ht="15.75" x14ac:dyDescent="0.25">
      <c r="B85" s="352" t="s">
        <v>107</v>
      </c>
      <c r="C85" s="353"/>
      <c r="D85" s="51" t="s">
        <v>117</v>
      </c>
      <c r="E85" s="47">
        <f>SUM(D82:D84)</f>
        <v>2567000</v>
      </c>
    </row>
    <row r="86" spans="2:5" ht="15.75" x14ac:dyDescent="0.25">
      <c r="B86" s="344" t="s">
        <v>108</v>
      </c>
      <c r="C86" s="345"/>
      <c r="D86" s="51"/>
      <c r="E86" s="51"/>
    </row>
    <row r="87" spans="2:5" ht="15.75" x14ac:dyDescent="0.25">
      <c r="B87" s="346" t="s">
        <v>109</v>
      </c>
      <c r="C87" s="347"/>
      <c r="D87" s="48"/>
      <c r="E87" s="50">
        <f>(E80-E85)</f>
        <v>6465000</v>
      </c>
    </row>
  </sheetData>
  <mergeCells count="37">
    <mergeCell ref="E64:G64"/>
    <mergeCell ref="H64:I64"/>
    <mergeCell ref="J64:L64"/>
    <mergeCell ref="G69:I69"/>
    <mergeCell ref="E65:G65"/>
    <mergeCell ref="H65:I65"/>
    <mergeCell ref="F66:J66"/>
    <mergeCell ref="G67:I67"/>
    <mergeCell ref="G68:I68"/>
    <mergeCell ref="A1:N1"/>
    <mergeCell ref="A2:N2"/>
    <mergeCell ref="C61:C62"/>
    <mergeCell ref="E60:J60"/>
    <mergeCell ref="J61:L61"/>
    <mergeCell ref="H61:I61"/>
    <mergeCell ref="E61:G61"/>
    <mergeCell ref="A58:E58"/>
    <mergeCell ref="E62:G63"/>
    <mergeCell ref="H62:I62"/>
    <mergeCell ref="H63:I63"/>
    <mergeCell ref="J63:L63"/>
    <mergeCell ref="B71:E71"/>
    <mergeCell ref="B72:E72"/>
    <mergeCell ref="B73:E73"/>
    <mergeCell ref="B75:C75"/>
    <mergeCell ref="D75:E75"/>
    <mergeCell ref="B77:C77"/>
    <mergeCell ref="B78:C78"/>
    <mergeCell ref="B79:C79"/>
    <mergeCell ref="B80:C80"/>
    <mergeCell ref="B81:C81"/>
    <mergeCell ref="B87:C87"/>
    <mergeCell ref="B82:C82"/>
    <mergeCell ref="B83:C83"/>
    <mergeCell ref="B84:C84"/>
    <mergeCell ref="B85:C85"/>
    <mergeCell ref="B86:C86"/>
  </mergeCells>
  <pageMargins left="0.7" right="0.7" top="0.75" bottom="0.75" header="0.3" footer="0.3"/>
  <pageSetup paperSize="256" scale="61" fitToHeight="0" orientation="landscape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142" workbookViewId="0">
      <selection activeCell="H5" sqref="H5"/>
    </sheetView>
  </sheetViews>
  <sheetFormatPr defaultRowHeight="15" x14ac:dyDescent="0.25"/>
  <cols>
    <col min="1" max="1" width="6.140625" customWidth="1"/>
    <col min="2" max="2" width="23.42578125" customWidth="1"/>
    <col min="3" max="3" width="25.85546875" customWidth="1"/>
    <col min="4" max="4" width="20.28515625" customWidth="1"/>
    <col min="5" max="5" width="15.42578125" customWidth="1"/>
    <col min="6" max="6" width="9.140625" customWidth="1"/>
    <col min="7" max="7" width="11.85546875" customWidth="1"/>
    <col min="8" max="8" width="1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333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s="250" customFormat="1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271">
        <v>109</v>
      </c>
      <c r="G5" s="142">
        <v>70</v>
      </c>
      <c r="H5" s="141">
        <f>(Table242325678910111213141516201921[[#This Row],[STOK]]-Table242325678910111213141516201921[[#This Row],[TERJUAL]])</f>
        <v>39</v>
      </c>
      <c r="I5" s="143">
        <f>(Table242325678910111213141516201921[HARGA JUAL]*Table242325678910111213141516201921[TERJUAL])-(Table242325678910111213141516201921[HARGA POKOK]*Table242325678910111213141516201921[TERJUAL])</f>
        <v>1540000</v>
      </c>
      <c r="J5" s="143">
        <f>(Table242325678910111213141516201921[HARGA JUAL]*Table242325678910111213141516201921[TERJUAL])</f>
        <v>6790000</v>
      </c>
      <c r="K5" s="143">
        <f>Table242325678910111213141516201921[HARGA JUAL]*Table242325678910111213141516201921[SISA]</f>
        <v>3783000</v>
      </c>
      <c r="L5" s="144">
        <f>Table242325678910111213141516201921[HARGA POKOK]*Table242325678910111213141516201921[STOK]</f>
        <v>8175000</v>
      </c>
      <c r="M5" s="144">
        <f>Table242325678910111213141516201921[HARGA JUAL]*Table242325678910111213141516201921[STOK]</f>
        <v>10573000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270">
        <v>102</v>
      </c>
      <c r="G6" s="142">
        <v>63</v>
      </c>
      <c r="H6" s="141">
        <f>(Table242325678910111213141516201921[[#This Row],[STOK]]-Table242325678910111213141516201921[[#This Row],[TERJUAL]])</f>
        <v>39</v>
      </c>
      <c r="I6" s="143">
        <f>(Table242325678910111213141516201921[HARGA JUAL]*Table242325678910111213141516201921[TERJUAL])-(Table242325678910111213141516201921[HARGA POKOK]*Table242325678910111213141516201921[TERJUAL])</f>
        <v>1260000</v>
      </c>
      <c r="J6" s="143">
        <f>(Table242325678910111213141516201921[HARGA JUAL]*Table242325678910111213141516201921[TERJUAL])</f>
        <v>5040000</v>
      </c>
      <c r="K6" s="143">
        <f>Table242325678910111213141516201921[HARGA JUAL]*Table242325678910111213141516201921[SISA]</f>
        <v>3120000</v>
      </c>
      <c r="L6" s="144">
        <f>Table242325678910111213141516201921[HARGA POKOK]*Table242325678910111213141516201921[STOK]</f>
        <v>6120000</v>
      </c>
      <c r="M6" s="144">
        <f>Table242325678910111213141516201921[HARGA JUAL]*Table242325678910111213141516201921[STOK]</f>
        <v>8160000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55000</v>
      </c>
      <c r="E7" s="140">
        <v>70000</v>
      </c>
      <c r="F7" s="141">
        <v>20</v>
      </c>
      <c r="G7" s="142">
        <v>9</v>
      </c>
      <c r="H7" s="141">
        <f>(Table242325678910111213141516201921[[#This Row],[STOK]]-Table242325678910111213141516201921[[#This Row],[TERJUAL]])</f>
        <v>11</v>
      </c>
      <c r="I7" s="143">
        <f>(Table242325678910111213141516201921[HARGA JUAL]*Table242325678910111213141516201921[TERJUAL])-(Table242325678910111213141516201921[HARGA POKOK]*Table242325678910111213141516201921[TERJUAL])</f>
        <v>135000</v>
      </c>
      <c r="J7" s="143">
        <f>(Table242325678910111213141516201921[HARGA JUAL]*Table242325678910111213141516201921[TERJUAL])</f>
        <v>630000</v>
      </c>
      <c r="K7" s="143">
        <f>Table242325678910111213141516201921[HARGA JUAL]*Table242325678910111213141516201921[SISA]</f>
        <v>770000</v>
      </c>
      <c r="L7" s="144">
        <f>Table242325678910111213141516201921[HARGA POKOK]*Table242325678910111213141516201921[STOK]</f>
        <v>1100000</v>
      </c>
      <c r="M7" s="144">
        <f>Table242325678910111213141516201921[HARGA JUAL]*Table242325678910111213141516201921[STOK]</f>
        <v>1400000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112</v>
      </c>
      <c r="G8" s="142">
        <v>49</v>
      </c>
      <c r="H8" s="141">
        <f>(Table242325678910111213141516201921[[#This Row],[STOK]]-Table242325678910111213141516201921[[#This Row],[TERJUAL]])</f>
        <v>63</v>
      </c>
      <c r="I8" s="143">
        <f>(Table242325678910111213141516201921[HARGA JUAL]*Table242325678910111213141516201921[TERJUAL])-(Table242325678910111213141516201921[HARGA POKOK]*Table242325678910111213141516201921[TERJUAL])</f>
        <v>808500</v>
      </c>
      <c r="J8" s="143">
        <f>(Table242325678910111213141516201921[HARGA JUAL]*Table242325678910111213141516201921[TERJUAL])</f>
        <v>4018000</v>
      </c>
      <c r="K8" s="143">
        <f>Table242325678910111213141516201921[HARGA JUAL]*Table242325678910111213141516201921[SISA]</f>
        <v>5166000</v>
      </c>
      <c r="L8" s="144">
        <f>Table242325678910111213141516201921[HARGA POKOK]*Table242325678910111213141516201921[STOK]</f>
        <v>7336000</v>
      </c>
      <c r="M8" s="144">
        <f>Table242325678910111213141516201921[HARGA JUAL]*Table242325678910111213141516201921[STOK]</f>
        <v>9184000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78</v>
      </c>
      <c r="G9" s="142">
        <v>25</v>
      </c>
      <c r="H9" s="141">
        <f>(Table242325678910111213141516201921[[#This Row],[STOK]]-Table242325678910111213141516201921[[#This Row],[TERJUAL]])</f>
        <v>53</v>
      </c>
      <c r="I9" s="143">
        <f>(Table242325678910111213141516201921[HARGA JUAL]*Table242325678910111213141516201921[TERJUAL])-(Table242325678910111213141516201921[HARGA POKOK]*Table242325678910111213141516201921[TERJUAL])</f>
        <v>537500</v>
      </c>
      <c r="J9" s="143">
        <f>(Table242325678910111213141516201921[HARGA JUAL]*Table242325678910111213141516201921[TERJUAL])</f>
        <v>2000000</v>
      </c>
      <c r="K9" s="143">
        <f>Table242325678910111213141516201921[HARGA JUAL]*Table242325678910111213141516201921[SISA]</f>
        <v>4240000</v>
      </c>
      <c r="L9" s="144">
        <f>Table242325678910111213141516201921[HARGA POKOK]*Table242325678910111213141516201921[STOK]</f>
        <v>4563000</v>
      </c>
      <c r="M9" s="144">
        <f>Table242325678910111213141516201921[HARGA JUAL]*Table242325678910111213141516201921[STOK]</f>
        <v>6240000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12</v>
      </c>
      <c r="G10" s="142">
        <v>2</v>
      </c>
      <c r="H10" s="141">
        <f>(Table242325678910111213141516201921[[#This Row],[STOK]]-Table242325678910111213141516201921[[#This Row],[TERJUAL]])</f>
        <v>10</v>
      </c>
      <c r="I10" s="143">
        <f>(Table242325678910111213141516201921[HARGA JUAL]*Table242325678910111213141516201921[TERJUAL])-(Table242325678910111213141516201921[HARGA POKOK]*Table242325678910111213141516201921[TERJUAL])</f>
        <v>53000</v>
      </c>
      <c r="J10" s="143">
        <f>(Table242325678910111213141516201921[HARGA JUAL]*Table242325678910111213141516201921[TERJUAL])</f>
        <v>220000</v>
      </c>
      <c r="K10" s="143">
        <f>Table242325678910111213141516201921[HARGA JUAL]*Table242325678910111213141516201921[SISA]</f>
        <v>1100000</v>
      </c>
      <c r="L10" s="144">
        <f>Table242325678910111213141516201921[HARGA POKOK]*Table242325678910111213141516201921[STOK]</f>
        <v>1002000</v>
      </c>
      <c r="M10" s="144">
        <f>Table242325678910111213141516201921[HARGA JUAL]*Table242325678910111213141516201921[STOK]</f>
        <v>1320000</v>
      </c>
      <c r="N10" s="145"/>
    </row>
    <row r="11" spans="1:14" s="311" customFormat="1" x14ac:dyDescent="0.25">
      <c r="A11" s="283">
        <v>7</v>
      </c>
      <c r="B11" s="284" t="s">
        <v>28</v>
      </c>
      <c r="C11" s="284" t="s">
        <v>38</v>
      </c>
      <c r="D11" s="285">
        <v>88500</v>
      </c>
      <c r="E11" s="285">
        <v>50000</v>
      </c>
      <c r="F11" s="286">
        <v>8</v>
      </c>
      <c r="G11" s="287">
        <v>1</v>
      </c>
      <c r="H11" s="286">
        <f>(Table242325678910111213141516201921[[#This Row],[STOK]]-Table242325678910111213141516201921[[#This Row],[TERJUAL]])</f>
        <v>7</v>
      </c>
      <c r="I11" s="288">
        <f>(Table242325678910111213141516201921[HARGA JUAL]*Table242325678910111213141516201921[TERJUAL])-(Table242325678910111213141516201921[HARGA POKOK]*Table242325678910111213141516201921[TERJUAL])</f>
        <v>-38500</v>
      </c>
      <c r="J11" s="288">
        <f>(Table242325678910111213141516201921[HARGA JUAL]*Table242325678910111213141516201921[TERJUAL])</f>
        <v>50000</v>
      </c>
      <c r="K11" s="288">
        <f>Table242325678910111213141516201921[HARGA JUAL]*Table242325678910111213141516201921[SISA]</f>
        <v>350000</v>
      </c>
      <c r="L11" s="289">
        <f>Table242325678910111213141516201921[HARGA POKOK]*Table242325678910111213141516201921[STOK]</f>
        <v>708000</v>
      </c>
      <c r="M11" s="289">
        <f>Table242325678910111213141516201921[HARGA JUAL]*Table242325678910111213141516201921[STOK]</f>
        <v>400000</v>
      </c>
      <c r="N11" s="290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47</v>
      </c>
      <c r="G12" s="142">
        <v>6</v>
      </c>
      <c r="H12" s="141">
        <f>(Table242325678910111213141516201921[[#This Row],[STOK]]-Table242325678910111213141516201921[[#This Row],[TERJUAL]])</f>
        <v>41</v>
      </c>
      <c r="I12" s="143">
        <f>(Table242325678910111213141516201921[HARGA JUAL]*Table242325678910111213141516201921[TERJUAL])-(Table242325678910111213141516201921[HARGA POKOK]*Table242325678910111213141516201921[TERJUAL])</f>
        <v>36000</v>
      </c>
      <c r="J12" s="143">
        <f>(Table242325678910111213141516201921[HARGA JUAL]*Table242325678910111213141516201921[TERJUAL])</f>
        <v>540000</v>
      </c>
      <c r="K12" s="143">
        <f>Table242325678910111213141516201921[HARGA JUAL]*Table242325678910111213141516201921[SISA]</f>
        <v>3690000</v>
      </c>
      <c r="L12" s="144">
        <f>Table242325678910111213141516201921[HARGA POKOK]*Table242325678910111213141516201921[STOK]</f>
        <v>3948000</v>
      </c>
      <c r="M12" s="144">
        <f>Table242325678910111213141516201921[HARGA JUAL]*Table242325678910111213141516201921[STOK]</f>
        <v>4230000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3</v>
      </c>
      <c r="G13" s="142">
        <v>3</v>
      </c>
      <c r="H13" s="141">
        <f>(Table242325678910111213141516201921[[#This Row],[STOK]]-Table242325678910111213141516201921[[#This Row],[TERJUAL]])</f>
        <v>0</v>
      </c>
      <c r="I13" s="143">
        <f>(Table242325678910111213141516201921[HARGA JUAL]*Table242325678910111213141516201921[TERJUAL])-(Table242325678910111213141516201921[HARGA POKOK]*Table242325678910111213141516201921[TERJUAL])</f>
        <v>64500</v>
      </c>
      <c r="J13" s="143">
        <f>(Table242325678910111213141516201921[HARGA JUAL]*Table242325678910111213141516201921[TERJUAL])</f>
        <v>540000</v>
      </c>
      <c r="K13" s="143">
        <f>Table242325678910111213141516201921[HARGA JUAL]*Table242325678910111213141516201921[SISA]</f>
        <v>0</v>
      </c>
      <c r="L13" s="144">
        <f>Table242325678910111213141516201921[HARGA POKOK]*Table242325678910111213141516201921[STOK]</f>
        <v>475500</v>
      </c>
      <c r="M13" s="144">
        <f>Table242325678910111213141516201921[HARGA JUAL]*Table242325678910111213141516201921[STOK]</f>
        <v>540000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120000</v>
      </c>
      <c r="F14" s="141">
        <v>21</v>
      </c>
      <c r="G14" s="142"/>
      <c r="H14" s="141">
        <f>(Table242325678910111213141516201921[[#This Row],[STOK]]-Table242325678910111213141516201921[[#This Row],[TERJUAL]])</f>
        <v>21</v>
      </c>
      <c r="I14" s="143">
        <f>(Table242325678910111213141516201921[HARGA JUAL]*Table242325678910111213141516201921[TERJUAL])-(Table242325678910111213141516201921[HARGA POKOK]*Table242325678910111213141516201921[TERJUAL])</f>
        <v>0</v>
      </c>
      <c r="J14" s="143">
        <f>(Table242325678910111213141516201921[HARGA JUAL]*Table242325678910111213141516201921[TERJUAL])</f>
        <v>0</v>
      </c>
      <c r="K14" s="143">
        <f>Table242325678910111213141516201921[HARGA JUAL]*Table242325678910111213141516201921[SISA]</f>
        <v>2520000</v>
      </c>
      <c r="L14" s="144">
        <f>Table242325678910111213141516201921[HARGA POKOK]*Table242325678910111213141516201921[STOK]</f>
        <v>2793000</v>
      </c>
      <c r="M14" s="144">
        <f>Table242325678910111213141516201921[HARGA JUAL]*Table242325678910111213141516201921[STOK]</f>
        <v>2520000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70</v>
      </c>
      <c r="G15" s="142">
        <v>23</v>
      </c>
      <c r="H15" s="141">
        <f>(Table242325678910111213141516201921[[#This Row],[STOK]]-Table242325678910111213141516201921[[#This Row],[TERJUAL]])</f>
        <v>47</v>
      </c>
      <c r="I15" s="143">
        <f>(Table242325678910111213141516201921[HARGA JUAL]*Table242325678910111213141516201921[TERJUAL])-(Table242325678910111213141516201921[HARGA POKOK]*Table242325678910111213141516201921[TERJUAL])</f>
        <v>241500</v>
      </c>
      <c r="J15" s="143">
        <f>(Table242325678910111213141516201921[HARGA JUAL]*Table242325678910111213141516201921[TERJUAL])</f>
        <v>920000</v>
      </c>
      <c r="K15" s="143">
        <f>Table242325678910111213141516201921[HARGA JUAL]*Table242325678910111213141516201921[SISA]</f>
        <v>1880000</v>
      </c>
      <c r="L15" s="144">
        <f>Table242325678910111213141516201921[HARGA POKOK]*Table242325678910111213141516201921[STOK]</f>
        <v>2065000</v>
      </c>
      <c r="M15" s="144">
        <f>Table242325678910111213141516201921[HARGA JUAL]*Table242325678910111213141516201921[STOK]</f>
        <v>2800000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41</v>
      </c>
      <c r="G16" s="142">
        <v>4</v>
      </c>
      <c r="H16" s="141">
        <f>(Table242325678910111213141516201921[[#This Row],[STOK]]-Table242325678910111213141516201921[[#This Row],[TERJUAL]])</f>
        <v>37</v>
      </c>
      <c r="I16" s="143">
        <f>(Table242325678910111213141516201921[HARGA JUAL]*Table242325678910111213141516201921[TERJUAL])-(Table242325678910111213141516201921[HARGA POKOK]*Table242325678910111213141516201921[TERJUAL])</f>
        <v>110000</v>
      </c>
      <c r="J16" s="143">
        <f>(Table242325678910111213141516201921[HARGA JUAL]*Table242325678910111213141516201921[TERJUAL])</f>
        <v>400000</v>
      </c>
      <c r="K16" s="143">
        <f>Table242325678910111213141516201921[HARGA JUAL]*Table242325678910111213141516201921[SISA]</f>
        <v>3700000</v>
      </c>
      <c r="L16" s="144">
        <f>Table242325678910111213141516201921[HARGA POKOK]*Table242325678910111213141516201921[STOK]</f>
        <v>2972500</v>
      </c>
      <c r="M16" s="144">
        <f>Table242325678910111213141516201921[HARGA JUAL]*Table242325678910111213141516201921[STOK]</f>
        <v>4100000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48</v>
      </c>
      <c r="G17" s="142"/>
      <c r="H17" s="141">
        <f>(Table242325678910111213141516201921[[#This Row],[STOK]]-Table242325678910111213141516201921[[#This Row],[TERJUAL]])</f>
        <v>48</v>
      </c>
      <c r="I17" s="143">
        <f>(Table242325678910111213141516201921[HARGA JUAL]*Table242325678910111213141516201921[TERJUAL])-(Table242325678910111213141516201921[HARGA POKOK]*Table242325678910111213141516201921[TERJUAL])</f>
        <v>0</v>
      </c>
      <c r="J17" s="143">
        <f>(Table242325678910111213141516201921[HARGA JUAL]*Table242325678910111213141516201921[TERJUAL])</f>
        <v>0</v>
      </c>
      <c r="K17" s="143">
        <f>Table242325678910111213141516201921[HARGA JUAL]*Table242325678910111213141516201921[SISA]</f>
        <v>4080000</v>
      </c>
      <c r="L17" s="144">
        <f>Table242325678910111213141516201921[HARGA POKOK]*Table242325678910111213141516201921[STOK]</f>
        <v>3168000</v>
      </c>
      <c r="M17" s="144">
        <f>Table242325678910111213141516201921[HARGA JUAL]*Table242325678910111213141516201921[STOK]</f>
        <v>4080000</v>
      </c>
      <c r="N17" s="145" t="s">
        <v>292</v>
      </c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537</v>
      </c>
      <c r="G18" s="142">
        <v>3</v>
      </c>
      <c r="H18" s="141">
        <f>(Table242325678910111213141516201921[[#This Row],[STOK]]-Table242325678910111213141516201921[[#This Row],[TERJUAL]])</f>
        <v>534</v>
      </c>
      <c r="I18" s="143">
        <f>(Table242325678910111213141516201921[HARGA JUAL]*Table242325678910111213141516201921[TERJUAL])-(Table242325678910111213141516201921[HARGA POKOK]*Table242325678910111213141516201921[TERJUAL])</f>
        <v>7500</v>
      </c>
      <c r="J18" s="143">
        <f>(Table242325678910111213141516201921[HARGA JUAL]*Table242325678910111213141516201921[TERJUAL])</f>
        <v>75000</v>
      </c>
      <c r="K18" s="143">
        <f>Table242325678910111213141516201921[HARGA JUAL]*Table242325678910111213141516201921[SISA]</f>
        <v>13350000</v>
      </c>
      <c r="L18" s="144">
        <f>Table242325678910111213141516201921[HARGA POKOK]*Table242325678910111213141516201921[STOK]</f>
        <v>12082500</v>
      </c>
      <c r="M18" s="144">
        <f>Table242325678910111213141516201921[HARGA JUAL]*Table242325678910111213141516201921[STOK]</f>
        <v>13425000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13</v>
      </c>
      <c r="G19" s="142">
        <v>1</v>
      </c>
      <c r="H19" s="141">
        <f>(Table242325678910111213141516201921[[#This Row],[STOK]]-Table242325678910111213141516201921[[#This Row],[TERJUAL]])</f>
        <v>12</v>
      </c>
      <c r="I19" s="143">
        <f>(Table242325678910111213141516201921[HARGA JUAL]*Table242325678910111213141516201921[TERJUAL])-(Table242325678910111213141516201921[HARGA POKOK]*Table242325678910111213141516201921[TERJUAL])</f>
        <v>24000</v>
      </c>
      <c r="J19" s="143">
        <f>(Table242325678910111213141516201921[HARGA JUAL]*Table242325678910111213141516201921[TERJUAL])</f>
        <v>80000</v>
      </c>
      <c r="K19" s="143">
        <f>Table242325678910111213141516201921[HARGA JUAL]*Table242325678910111213141516201921[SISA]</f>
        <v>960000</v>
      </c>
      <c r="L19" s="144">
        <f>Table242325678910111213141516201921[HARGA POKOK]*Table242325678910111213141516201921[STOK]</f>
        <v>728000</v>
      </c>
      <c r="M19" s="144">
        <f>Table242325678910111213141516201921[HARGA JUAL]*Table242325678910111213141516201921[STOK]</f>
        <v>1040000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/>
      <c r="G20" s="142"/>
      <c r="H20" s="141">
        <f>(Table242325678910111213141516201921[[#This Row],[STOK]]-Table242325678910111213141516201921[[#This Row],[TERJUAL]])</f>
        <v>0</v>
      </c>
      <c r="I20" s="143">
        <f>(Table242325678910111213141516201921[HARGA JUAL]*Table242325678910111213141516201921[TERJUAL])-(Table242325678910111213141516201921[HARGA POKOK]*Table242325678910111213141516201921[TERJUAL])</f>
        <v>0</v>
      </c>
      <c r="J20" s="143">
        <f>(Table242325678910111213141516201921[HARGA JUAL]*Table242325678910111213141516201921[TERJUAL])</f>
        <v>0</v>
      </c>
      <c r="K20" s="143">
        <f>Table242325678910111213141516201921[HARGA JUAL]*Table242325678910111213141516201921[SISA]</f>
        <v>0</v>
      </c>
      <c r="L20" s="144">
        <f>Table242325678910111213141516201921[HARGA POKOK]*Table242325678910111213141516201921[STOK]</f>
        <v>0</v>
      </c>
      <c r="M20" s="144">
        <f>Table242325678910111213141516201921[HARGA JUAL]*Table242325678910111213141516201921[STOK]</f>
        <v>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71</v>
      </c>
      <c r="G21" s="142">
        <v>3</v>
      </c>
      <c r="H21" s="141">
        <f>(Table242325678910111213141516201921[[#This Row],[STOK]]-Table242325678910111213141516201921[[#This Row],[TERJUAL]])</f>
        <v>68</v>
      </c>
      <c r="I21" s="143">
        <f>(Table242325678910111213141516201921[HARGA JUAL]*Table242325678910111213141516201921[TERJUAL])-(Table242325678910111213141516201921[HARGA POKOK]*Table242325678910111213141516201921[TERJUAL])</f>
        <v>34500</v>
      </c>
      <c r="J21" s="143">
        <f>(Table242325678910111213141516201921[HARGA JUAL]*Table242325678910111213141516201921[TERJUAL])</f>
        <v>66000</v>
      </c>
      <c r="K21" s="143">
        <f>Table242325678910111213141516201921[HARGA JUAL]*Table242325678910111213141516201921[SISA]</f>
        <v>1496000</v>
      </c>
      <c r="L21" s="144">
        <f>Table242325678910111213141516201921[HARGA POKOK]*Table242325678910111213141516201921[STOK]</f>
        <v>745500</v>
      </c>
      <c r="M21" s="144">
        <f>Table242325678910111213141516201921[HARGA JUAL]*Table242325678910111213141516201921[STOK]</f>
        <v>1562000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47</v>
      </c>
      <c r="G22" s="142">
        <v>5</v>
      </c>
      <c r="H22" s="141">
        <f>(Table242325678910111213141516201921[[#This Row],[STOK]]-Table242325678910111213141516201921[[#This Row],[TERJUAL]])</f>
        <v>42</v>
      </c>
      <c r="I22" s="143">
        <f>(Table242325678910111213141516201921[HARGA JUAL]*Table242325678910111213141516201921[TERJUAL])-(Table242325678910111213141516201921[HARGA POKOK]*Table242325678910111213141516201921[TERJUAL])</f>
        <v>100000</v>
      </c>
      <c r="J22" s="143">
        <f>(Table242325678910111213141516201921[HARGA JUAL]*Table242325678910111213141516201921[TERJUAL])</f>
        <v>400000</v>
      </c>
      <c r="K22" s="143">
        <f>Table242325678910111213141516201921[HARGA JUAL]*Table242325678910111213141516201921[SISA]</f>
        <v>3360000</v>
      </c>
      <c r="L22" s="144">
        <f>Table242325678910111213141516201921[HARGA POKOK]*Table242325678910111213141516201921[STOK]</f>
        <v>2820000</v>
      </c>
      <c r="M22" s="144">
        <f>Table242325678910111213141516201921[HARGA JUAL]*Table242325678910111213141516201921[STOK]</f>
        <v>3760000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64</v>
      </c>
      <c r="G23" s="142">
        <v>7</v>
      </c>
      <c r="H23" s="141">
        <f>(Table242325678910111213141516201921[[#This Row],[STOK]]-Table242325678910111213141516201921[[#This Row],[TERJUAL]])</f>
        <v>57</v>
      </c>
      <c r="I23" s="143">
        <f>(Table242325678910111213141516201921[HARGA JUAL]*Table242325678910111213141516201921[TERJUAL])-(Table242325678910111213141516201921[HARGA POKOK]*Table242325678910111213141516201921[TERJUAL])</f>
        <v>73500</v>
      </c>
      <c r="J23" s="143">
        <f>(Table242325678910111213141516201921[HARGA JUAL]*Table242325678910111213141516201921[TERJUAL])</f>
        <v>175000</v>
      </c>
      <c r="K23" s="143">
        <f>Table242325678910111213141516201921[HARGA JUAL]*Table242325678910111213141516201921[SISA]</f>
        <v>1425000</v>
      </c>
      <c r="L23" s="144">
        <f>Table242325678910111213141516201921[HARGA POKOK]*Table242325678910111213141516201921[STOK]</f>
        <v>928000</v>
      </c>
      <c r="M23" s="144">
        <f>Table242325678910111213141516201921[HARGA JUAL]*Table242325678910111213141516201921[STOK]</f>
        <v>1600000</v>
      </c>
      <c r="N23" s="145"/>
    </row>
    <row r="24" spans="1:14" x14ac:dyDescent="0.25">
      <c r="A24" s="283">
        <v>20</v>
      </c>
      <c r="B24" s="284" t="s">
        <v>28</v>
      </c>
      <c r="C24" s="284" t="s">
        <v>52</v>
      </c>
      <c r="D24" s="285">
        <v>30000</v>
      </c>
      <c r="E24" s="285">
        <v>15000</v>
      </c>
      <c r="F24" s="286">
        <v>42</v>
      </c>
      <c r="G24" s="287">
        <v>8</v>
      </c>
      <c r="H24" s="286">
        <f>(Table242325678910111213141516201921[[#This Row],[STOK]]-Table242325678910111213141516201921[[#This Row],[TERJUAL]])</f>
        <v>34</v>
      </c>
      <c r="I24" s="288">
        <f>(Table242325678910111213141516201921[HARGA JUAL]*Table242325678910111213141516201921[TERJUAL])-(Table242325678910111213141516201921[HARGA POKOK]*Table242325678910111213141516201921[TERJUAL])</f>
        <v>-120000</v>
      </c>
      <c r="J24" s="288">
        <f>(Table242325678910111213141516201921[HARGA JUAL]*Table242325678910111213141516201921[TERJUAL])</f>
        <v>120000</v>
      </c>
      <c r="K24" s="288">
        <f>Table242325678910111213141516201921[HARGA JUAL]*Table242325678910111213141516201921[SISA]</f>
        <v>510000</v>
      </c>
      <c r="L24" s="289">
        <f>Table242325678910111213141516201921[HARGA POKOK]*Table242325678910111213141516201921[STOK]</f>
        <v>1260000</v>
      </c>
      <c r="M24" s="289">
        <f>Table242325678910111213141516201921[HARGA JUAL]*Table242325678910111213141516201921[STOK]</f>
        <v>630000</v>
      </c>
      <c r="N24" s="290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4500</v>
      </c>
      <c r="E25" s="140">
        <v>10000</v>
      </c>
      <c r="F25" s="141">
        <v>8</v>
      </c>
      <c r="G25" s="142">
        <v>8</v>
      </c>
      <c r="H25" s="141">
        <f>(Table242325678910111213141516201921[[#This Row],[STOK]]-Table242325678910111213141516201921[[#This Row],[TERJUAL]])</f>
        <v>0</v>
      </c>
      <c r="I25" s="143">
        <f>(Table242325678910111213141516201921[HARGA JUAL]*Table242325678910111213141516201921[TERJUAL])-(Table242325678910111213141516201921[HARGA POKOK]*Table242325678910111213141516201921[TERJUAL])</f>
        <v>44000</v>
      </c>
      <c r="J25" s="143">
        <f>(Table242325678910111213141516201921[HARGA JUAL]*Table242325678910111213141516201921[TERJUAL])</f>
        <v>80000</v>
      </c>
      <c r="K25" s="143">
        <f>Table242325678910111213141516201921[HARGA JUAL]*Table242325678910111213141516201921[SISA]</f>
        <v>0</v>
      </c>
      <c r="L25" s="144">
        <f>Table242325678910111213141516201921[HARGA POKOK]*Table242325678910111213141516201921[STOK]</f>
        <v>36000</v>
      </c>
      <c r="M25" s="144">
        <f>Table242325678910111213141516201921[HARGA JUAL]*Table242325678910111213141516201921[STOK]</f>
        <v>80000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78</v>
      </c>
      <c r="G26" s="142">
        <v>4</v>
      </c>
      <c r="H26" s="141">
        <f>(Table242325678910111213141516201921[[#This Row],[STOK]]-Table242325678910111213141516201921[[#This Row],[TERJUAL]])</f>
        <v>74</v>
      </c>
      <c r="I26" s="143">
        <f>(Table242325678910111213141516201921[HARGA JUAL]*Table242325678910111213141516201921[TERJUAL])-(Table242325678910111213141516201921[HARGA POKOK]*Table242325678910111213141516201921[TERJUAL])</f>
        <v>50000</v>
      </c>
      <c r="J26" s="143">
        <f>(Table242325678910111213141516201921[HARGA JUAL]*Table242325678910111213141516201921[TERJUAL])</f>
        <v>240000</v>
      </c>
      <c r="K26" s="143">
        <f>Table242325678910111213141516201921[HARGA JUAL]*Table242325678910111213141516201921[SISA]</f>
        <v>4440000</v>
      </c>
      <c r="L26" s="144">
        <f>Table242325678910111213141516201921[HARGA POKOK]*Table242325678910111213141516201921[STOK]</f>
        <v>3705000</v>
      </c>
      <c r="M26" s="144">
        <f>Table242325678910111213141516201921[HARGA JUAL]*Table242325678910111213141516201921[STOK]</f>
        <v>4680000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/>
      <c r="G27" s="142"/>
      <c r="H27" s="141">
        <f>(Table242325678910111213141516201921[[#This Row],[STOK]]-Table242325678910111213141516201921[[#This Row],[TERJUAL]])</f>
        <v>0</v>
      </c>
      <c r="I27" s="143">
        <f>(Table242325678910111213141516201921[HARGA JUAL]*Table242325678910111213141516201921[TERJUAL])-(Table242325678910111213141516201921[HARGA POKOK]*Table242325678910111213141516201921[TERJUAL])</f>
        <v>0</v>
      </c>
      <c r="J27" s="143">
        <f>(Table242325678910111213141516201921[HARGA JUAL]*Table242325678910111213141516201921[TERJUAL])</f>
        <v>0</v>
      </c>
      <c r="K27" s="143">
        <f>Table242325678910111213141516201921[HARGA JUAL]*Table242325678910111213141516201921[SISA]</f>
        <v>0</v>
      </c>
      <c r="L27" s="144">
        <f>Table242325678910111213141516201921[HARGA POKOK]*Table242325678910111213141516201921[STOK]</f>
        <v>0</v>
      </c>
      <c r="M27" s="144">
        <f>Table242325678910111213141516201921[HARGA JUAL]*Table242325678910111213141516201921[STOK]</f>
        <v>0</v>
      </c>
      <c r="N27" s="145"/>
    </row>
    <row r="28" spans="1:14" x14ac:dyDescent="0.25">
      <c r="A28" s="137">
        <v>24</v>
      </c>
      <c r="B28" s="138" t="s">
        <v>29</v>
      </c>
      <c r="C28" s="138" t="s">
        <v>293</v>
      </c>
      <c r="D28" s="140">
        <v>68500</v>
      </c>
      <c r="E28" s="140">
        <v>120000</v>
      </c>
      <c r="F28" s="141">
        <v>13</v>
      </c>
      <c r="G28" s="142">
        <v>7</v>
      </c>
      <c r="H28" s="141">
        <f>(Table242325678910111213141516201921[[#This Row],[STOK]]-Table242325678910111213141516201921[[#This Row],[TERJUAL]])</f>
        <v>6</v>
      </c>
      <c r="I28" s="143">
        <f>(Table242325678910111213141516201921[HARGA JUAL]*Table242325678910111213141516201921[TERJUAL])-(Table242325678910111213141516201921[HARGA POKOK]*Table242325678910111213141516201921[TERJUAL])</f>
        <v>360500</v>
      </c>
      <c r="J28" s="143">
        <f>(Table242325678910111213141516201921[HARGA JUAL]*Table242325678910111213141516201921[TERJUAL])</f>
        <v>840000</v>
      </c>
      <c r="K28" s="143">
        <f>Table242325678910111213141516201921[HARGA JUAL]*Table242325678910111213141516201921[SISA]</f>
        <v>720000</v>
      </c>
      <c r="L28" s="144">
        <f>Table242325678910111213141516201921[HARGA POKOK]*Table242325678910111213141516201921[STOK]</f>
        <v>890500</v>
      </c>
      <c r="M28" s="144">
        <f>Table242325678910111213141516201921[HARGA JUAL]*Table242325678910111213141516201921[STOK]</f>
        <v>1560000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(Table242325678910111213141516201921[[#This Row],[STOK]]-Table242325678910111213141516201921[[#This Row],[TERJUAL]])</f>
        <v>0</v>
      </c>
      <c r="I29" s="143">
        <f>(Table242325678910111213141516201921[HARGA JUAL]*Table242325678910111213141516201921[TERJUAL])-(Table242325678910111213141516201921[HARGA POKOK]*Table242325678910111213141516201921[TERJUAL])</f>
        <v>0</v>
      </c>
      <c r="J29" s="143">
        <f>(Table242325678910111213141516201921[HARGA JUAL]*Table242325678910111213141516201921[TERJUAL])</f>
        <v>0</v>
      </c>
      <c r="K29" s="143">
        <f>Table242325678910111213141516201921[HARGA JUAL]*Table242325678910111213141516201921[SISA]</f>
        <v>0</v>
      </c>
      <c r="L29" s="144">
        <f>Table242325678910111213141516201921[HARGA POKOK]*Table242325678910111213141516201921[STOK]</f>
        <v>0</v>
      </c>
      <c r="M29" s="144">
        <f>Table242325678910111213141516201921[HARGA JUAL]*Table242325678910111213141516201921[STOK]</f>
        <v>0</v>
      </c>
      <c r="N29" s="145"/>
    </row>
    <row r="30" spans="1:14" x14ac:dyDescent="0.25">
      <c r="A30" s="137"/>
      <c r="B30" s="138" t="s">
        <v>30</v>
      </c>
      <c r="C30" s="138" t="s">
        <v>315</v>
      </c>
      <c r="D30" s="140">
        <v>35000</v>
      </c>
      <c r="E30" s="140">
        <v>55000</v>
      </c>
      <c r="F30" s="141">
        <v>32</v>
      </c>
      <c r="G30" s="142">
        <v>12</v>
      </c>
      <c r="H30" s="141">
        <f>(Table242325678910111213141516201921[[#This Row],[STOK]]-Table242325678910111213141516201921[[#This Row],[TERJUAL]])</f>
        <v>20</v>
      </c>
      <c r="I30" s="143">
        <f>(Table242325678910111213141516201921[HARGA JUAL]*Table242325678910111213141516201921[TERJUAL])-(Table242325678910111213141516201921[HARGA POKOK]*Table242325678910111213141516201921[TERJUAL])</f>
        <v>240000</v>
      </c>
      <c r="J30" s="143">
        <f>(Table242325678910111213141516201921[HARGA JUAL]*Table242325678910111213141516201921[TERJUAL])</f>
        <v>660000</v>
      </c>
      <c r="K30" s="143">
        <f>Table242325678910111213141516201921[HARGA JUAL]*Table242325678910111213141516201921[SISA]</f>
        <v>1100000</v>
      </c>
      <c r="L30" s="144">
        <f>Table242325678910111213141516201921[HARGA POKOK]*Table242325678910111213141516201921[STOK]</f>
        <v>1120000</v>
      </c>
      <c r="M30" s="144">
        <f>Table242325678910111213141516201921[HARGA JUAL]*Table242325678910111213141516201921[STOK]</f>
        <v>1760000</v>
      </c>
      <c r="N30" s="145"/>
    </row>
    <row r="31" spans="1:14" x14ac:dyDescent="0.25">
      <c r="A31" s="137"/>
      <c r="B31" s="138" t="s">
        <v>30</v>
      </c>
      <c r="C31" s="138" t="s">
        <v>294</v>
      </c>
      <c r="D31" s="140">
        <v>15000</v>
      </c>
      <c r="E31" s="140">
        <v>30000</v>
      </c>
      <c r="F31" s="141">
        <v>2</v>
      </c>
      <c r="G31" s="142">
        <v>2</v>
      </c>
      <c r="H31" s="141">
        <f>(Table242325678910111213141516201921[[#This Row],[STOK]]-Table242325678910111213141516201921[[#This Row],[TERJUAL]])</f>
        <v>0</v>
      </c>
      <c r="I31" s="143">
        <f>(Table242325678910111213141516201921[HARGA JUAL]*Table242325678910111213141516201921[TERJUAL])-(Table242325678910111213141516201921[HARGA POKOK]*Table242325678910111213141516201921[TERJUAL])</f>
        <v>30000</v>
      </c>
      <c r="J31" s="143">
        <f>(Table242325678910111213141516201921[HARGA JUAL]*Table242325678910111213141516201921[TERJUAL])</f>
        <v>60000</v>
      </c>
      <c r="K31" s="143">
        <f>Table242325678910111213141516201921[HARGA JUAL]*Table242325678910111213141516201921[SISA]</f>
        <v>0</v>
      </c>
      <c r="L31" s="144">
        <f>Table242325678910111213141516201921[HARGA POKOK]*Table242325678910111213141516201921[STOK]</f>
        <v>30000</v>
      </c>
      <c r="M31" s="144">
        <f>Table242325678910111213141516201921[HARGA JUAL]*Table242325678910111213141516201921[STOK]</f>
        <v>60000</v>
      </c>
      <c r="N31" s="145"/>
    </row>
    <row r="32" spans="1:14" x14ac:dyDescent="0.25">
      <c r="A32" s="137">
        <v>26</v>
      </c>
      <c r="B32" s="138" t="s">
        <v>30</v>
      </c>
      <c r="C32" s="138" t="s">
        <v>58</v>
      </c>
      <c r="D32" s="140">
        <v>10000</v>
      </c>
      <c r="E32" s="140">
        <v>18000</v>
      </c>
      <c r="F32" s="141">
        <v>2</v>
      </c>
      <c r="G32" s="142">
        <v>2</v>
      </c>
      <c r="H32" s="141">
        <f>(Table242325678910111213141516201921[[#This Row],[STOK]]-Table242325678910111213141516201921[[#This Row],[TERJUAL]])</f>
        <v>0</v>
      </c>
      <c r="I32" s="143">
        <f>(Table242325678910111213141516201921[HARGA JUAL]*Table242325678910111213141516201921[TERJUAL])-(Table242325678910111213141516201921[HARGA POKOK]*Table242325678910111213141516201921[TERJUAL])</f>
        <v>16000</v>
      </c>
      <c r="J32" s="143">
        <f>(Table242325678910111213141516201921[HARGA JUAL]*Table242325678910111213141516201921[TERJUAL])</f>
        <v>36000</v>
      </c>
      <c r="K32" s="143">
        <f>Table242325678910111213141516201921[HARGA JUAL]*Table242325678910111213141516201921[SISA]</f>
        <v>0</v>
      </c>
      <c r="L32" s="144">
        <f>Table242325678910111213141516201921[HARGA POKOK]*Table242325678910111213141516201921[STOK]</f>
        <v>20000</v>
      </c>
      <c r="M32" s="144">
        <f>Table242325678910111213141516201921[HARGA JUAL]*Table242325678910111213141516201921[STOK]</f>
        <v>36000</v>
      </c>
      <c r="N32" s="145"/>
    </row>
    <row r="33" spans="1:14" x14ac:dyDescent="0.25">
      <c r="A33" s="137">
        <v>27</v>
      </c>
      <c r="B33" s="138" t="s">
        <v>30</v>
      </c>
      <c r="C33" s="138" t="s">
        <v>59</v>
      </c>
      <c r="D33" s="140">
        <v>27500</v>
      </c>
      <c r="E33" s="140">
        <v>45000</v>
      </c>
      <c r="F33" s="141">
        <v>10</v>
      </c>
      <c r="G33" s="142">
        <v>2</v>
      </c>
      <c r="H33" s="141">
        <f>(Table242325678910111213141516201921[[#This Row],[STOK]]-Table242325678910111213141516201921[[#This Row],[TERJUAL]])</f>
        <v>8</v>
      </c>
      <c r="I33" s="143">
        <f>(Table242325678910111213141516201921[HARGA JUAL]*Table242325678910111213141516201921[TERJUAL])-(Table242325678910111213141516201921[HARGA POKOK]*Table242325678910111213141516201921[TERJUAL])</f>
        <v>35000</v>
      </c>
      <c r="J33" s="143">
        <f>(Table242325678910111213141516201921[HARGA JUAL]*Table242325678910111213141516201921[TERJUAL])</f>
        <v>90000</v>
      </c>
      <c r="K33" s="143">
        <f>Table242325678910111213141516201921[HARGA JUAL]*Table242325678910111213141516201921[SISA]</f>
        <v>360000</v>
      </c>
      <c r="L33" s="144">
        <f>Table242325678910111213141516201921[HARGA POKOK]*Table242325678910111213141516201921[STOK]</f>
        <v>275000</v>
      </c>
      <c r="M33" s="144">
        <f>Table242325678910111213141516201921[HARGA JUAL]*Table242325678910111213141516201921[STOK]</f>
        <v>450000</v>
      </c>
      <c r="N33" s="145"/>
    </row>
    <row r="34" spans="1:14" x14ac:dyDescent="0.25">
      <c r="A34" s="137">
        <v>28</v>
      </c>
      <c r="B34" s="138" t="s">
        <v>30</v>
      </c>
      <c r="C34" s="138" t="s">
        <v>60</v>
      </c>
      <c r="D34" s="140">
        <v>12500</v>
      </c>
      <c r="E34" s="140">
        <v>16000</v>
      </c>
      <c r="F34" s="141">
        <v>112</v>
      </c>
      <c r="G34" s="142">
        <v>64</v>
      </c>
      <c r="H34" s="141">
        <f>(Table242325678910111213141516201921[[#This Row],[STOK]]-Table242325678910111213141516201921[[#This Row],[TERJUAL]])</f>
        <v>48</v>
      </c>
      <c r="I34" s="143">
        <f>(Table242325678910111213141516201921[HARGA JUAL]*Table242325678910111213141516201921[TERJUAL])-(Table242325678910111213141516201921[HARGA POKOK]*Table242325678910111213141516201921[TERJUAL])</f>
        <v>224000</v>
      </c>
      <c r="J34" s="143">
        <f>(Table242325678910111213141516201921[HARGA JUAL]*Table242325678910111213141516201921[TERJUAL])</f>
        <v>1024000</v>
      </c>
      <c r="K34" s="143">
        <f>Table242325678910111213141516201921[HARGA JUAL]*Table242325678910111213141516201921[SISA]</f>
        <v>768000</v>
      </c>
      <c r="L34" s="144">
        <f>Table242325678910111213141516201921[HARGA POKOK]*Table242325678910111213141516201921[STOK]</f>
        <v>1400000</v>
      </c>
      <c r="M34" s="144">
        <f>Table242325678910111213141516201921[HARGA JUAL]*Table242325678910111213141516201921[STOK]</f>
        <v>1792000</v>
      </c>
      <c r="N34" s="145"/>
    </row>
    <row r="35" spans="1:14" x14ac:dyDescent="0.25">
      <c r="A35" s="137">
        <v>29</v>
      </c>
      <c r="B35" s="138" t="s">
        <v>30</v>
      </c>
      <c r="C35" s="138" t="s">
        <v>13</v>
      </c>
      <c r="D35" s="140">
        <v>33500</v>
      </c>
      <c r="E35" s="140">
        <v>50000</v>
      </c>
      <c r="F35" s="141">
        <v>1</v>
      </c>
      <c r="G35" s="142"/>
      <c r="H35" s="141">
        <f>(Table242325678910111213141516201921[[#This Row],[STOK]]-Table242325678910111213141516201921[[#This Row],[TERJUAL]])</f>
        <v>1</v>
      </c>
      <c r="I35" s="143">
        <f>(Table242325678910111213141516201921[HARGA JUAL]*Table242325678910111213141516201921[TERJUAL])-(Table242325678910111213141516201921[HARGA POKOK]*Table242325678910111213141516201921[TERJUAL])</f>
        <v>0</v>
      </c>
      <c r="J35" s="143">
        <f>(Table242325678910111213141516201921[HARGA JUAL]*Table242325678910111213141516201921[TERJUAL])</f>
        <v>0</v>
      </c>
      <c r="K35" s="143">
        <f>Table242325678910111213141516201921[HARGA JUAL]*Table242325678910111213141516201921[SISA]</f>
        <v>50000</v>
      </c>
      <c r="L35" s="144">
        <f>Table242325678910111213141516201921[HARGA POKOK]*Table242325678910111213141516201921[STOK]</f>
        <v>33500</v>
      </c>
      <c r="M35" s="144">
        <f>Table242325678910111213141516201921[HARGA JUAL]*Table242325678910111213141516201921[STOK]</f>
        <v>50000</v>
      </c>
      <c r="N35" s="145"/>
    </row>
    <row r="36" spans="1:14" x14ac:dyDescent="0.25">
      <c r="A36" s="137">
        <v>30</v>
      </c>
      <c r="B36" s="138" t="s">
        <v>30</v>
      </c>
      <c r="C36" s="193" t="s">
        <v>14</v>
      </c>
      <c r="D36" s="140">
        <v>8500</v>
      </c>
      <c r="E36" s="140">
        <v>12000</v>
      </c>
      <c r="F36" s="141">
        <v>110</v>
      </c>
      <c r="G36" s="142">
        <v>28</v>
      </c>
      <c r="H36" s="141">
        <f>(Table242325678910111213141516201921[[#This Row],[STOK]]-Table242325678910111213141516201921[[#This Row],[TERJUAL]])</f>
        <v>82</v>
      </c>
      <c r="I36" s="143">
        <f>(Table242325678910111213141516201921[HARGA JUAL]*Table242325678910111213141516201921[TERJUAL])-(Table242325678910111213141516201921[HARGA POKOK]*Table242325678910111213141516201921[TERJUAL])</f>
        <v>98000</v>
      </c>
      <c r="J36" s="143">
        <f>(Table242325678910111213141516201921[HARGA JUAL]*Table242325678910111213141516201921[TERJUAL])</f>
        <v>336000</v>
      </c>
      <c r="K36" s="143">
        <f>Table242325678910111213141516201921[HARGA JUAL]*Table242325678910111213141516201921[SISA]</f>
        <v>984000</v>
      </c>
      <c r="L36" s="144">
        <f>Table242325678910111213141516201921[HARGA POKOK]*Table242325678910111213141516201921[STOK]</f>
        <v>935000</v>
      </c>
      <c r="M36" s="144">
        <f>Table242325678910111213141516201921[HARGA JUAL]*Table242325678910111213141516201921[STOK]</f>
        <v>1320000</v>
      </c>
      <c r="N36" s="145"/>
    </row>
    <row r="37" spans="1:14" x14ac:dyDescent="0.25">
      <c r="A37" s="137">
        <v>31</v>
      </c>
      <c r="B37" s="138" t="s">
        <v>30</v>
      </c>
      <c r="C37" s="138" t="s">
        <v>15</v>
      </c>
      <c r="D37" s="140">
        <v>30500</v>
      </c>
      <c r="E37" s="140">
        <v>45000</v>
      </c>
      <c r="F37" s="141"/>
      <c r="G37" s="142"/>
      <c r="H37" s="141">
        <f>(Table242325678910111213141516201921[[#This Row],[STOK]]-Table242325678910111213141516201921[[#This Row],[TERJUAL]])</f>
        <v>0</v>
      </c>
      <c r="I37" s="143">
        <f>(Table242325678910111213141516201921[HARGA JUAL]*Table242325678910111213141516201921[TERJUAL])-(Table242325678910111213141516201921[HARGA POKOK]*Table242325678910111213141516201921[TERJUAL])</f>
        <v>0</v>
      </c>
      <c r="J37" s="143">
        <f>(Table242325678910111213141516201921[HARGA JUAL]*Table242325678910111213141516201921[TERJUAL])</f>
        <v>0</v>
      </c>
      <c r="K37" s="143">
        <f>Table242325678910111213141516201921[HARGA JUAL]*Table242325678910111213141516201921[SISA]</f>
        <v>0</v>
      </c>
      <c r="L37" s="144">
        <f>Table242325678910111213141516201921[HARGA POKOK]*Table242325678910111213141516201921[STOK]</f>
        <v>0</v>
      </c>
      <c r="M37" s="144">
        <f>Table242325678910111213141516201921[HARGA JUAL]*Table242325678910111213141516201921[STOK]</f>
        <v>0</v>
      </c>
      <c r="N37" s="145"/>
    </row>
    <row r="38" spans="1:14" x14ac:dyDescent="0.25">
      <c r="A38" s="137">
        <v>32</v>
      </c>
      <c r="B38" s="138" t="s">
        <v>30</v>
      </c>
      <c r="C38" s="138" t="s">
        <v>16</v>
      </c>
      <c r="D38" s="140">
        <v>7500</v>
      </c>
      <c r="E38" s="140">
        <v>10000</v>
      </c>
      <c r="F38" s="141">
        <v>91</v>
      </c>
      <c r="G38" s="142">
        <v>26</v>
      </c>
      <c r="H38" s="141">
        <f>(Table242325678910111213141516201921[[#This Row],[STOK]]-Table242325678910111213141516201921[[#This Row],[TERJUAL]])</f>
        <v>65</v>
      </c>
      <c r="I38" s="143">
        <f>(Table242325678910111213141516201921[HARGA JUAL]*Table242325678910111213141516201921[TERJUAL])-(Table242325678910111213141516201921[HARGA POKOK]*Table242325678910111213141516201921[TERJUAL])</f>
        <v>65000</v>
      </c>
      <c r="J38" s="143">
        <f>(Table242325678910111213141516201921[HARGA JUAL]*Table242325678910111213141516201921[TERJUAL])</f>
        <v>260000</v>
      </c>
      <c r="K38" s="143">
        <f>Table242325678910111213141516201921[HARGA JUAL]*Table242325678910111213141516201921[SISA]</f>
        <v>650000</v>
      </c>
      <c r="L38" s="144">
        <f>Table242325678910111213141516201921[HARGA POKOK]*Table242325678910111213141516201921[STOK]</f>
        <v>682500</v>
      </c>
      <c r="M38" s="144">
        <f>Table242325678910111213141516201921[HARGA JUAL]*Table242325678910111213141516201921[STOK]</f>
        <v>910000</v>
      </c>
      <c r="N38" s="145"/>
    </row>
    <row r="39" spans="1:14" x14ac:dyDescent="0.25">
      <c r="A39" s="137">
        <v>33</v>
      </c>
      <c r="B39" s="138" t="s">
        <v>35</v>
      </c>
      <c r="C39" s="138" t="s">
        <v>36</v>
      </c>
      <c r="D39" s="140">
        <v>51500</v>
      </c>
      <c r="E39" s="140">
        <v>65000</v>
      </c>
      <c r="F39" s="141">
        <v>15</v>
      </c>
      <c r="G39" s="142">
        <v>5</v>
      </c>
      <c r="H39" s="141">
        <f>(Table242325678910111213141516201921[[#This Row],[STOK]]-Table242325678910111213141516201921[[#This Row],[TERJUAL]])</f>
        <v>10</v>
      </c>
      <c r="I39" s="143">
        <f>(Table242325678910111213141516201921[HARGA JUAL]*Table242325678910111213141516201921[TERJUAL])-(Table242325678910111213141516201921[HARGA POKOK]*Table242325678910111213141516201921[TERJUAL])</f>
        <v>67500</v>
      </c>
      <c r="J39" s="143">
        <f>(Table242325678910111213141516201921[HARGA JUAL]*Table242325678910111213141516201921[TERJUAL])</f>
        <v>325000</v>
      </c>
      <c r="K39" s="143">
        <f>Table242325678910111213141516201921[HARGA JUAL]*Table242325678910111213141516201921[SISA]</f>
        <v>650000</v>
      </c>
      <c r="L39" s="144">
        <f>Table242325678910111213141516201921[HARGA POKOK]*Table242325678910111213141516201921[STOK]</f>
        <v>772500</v>
      </c>
      <c r="M39" s="144">
        <f>Table242325678910111213141516201921[HARGA JUAL]*Table242325678910111213141516201921[STOK]</f>
        <v>975000</v>
      </c>
      <c r="N39" s="145"/>
    </row>
    <row r="40" spans="1:14" x14ac:dyDescent="0.25">
      <c r="A40" s="137">
        <v>34</v>
      </c>
      <c r="B40" s="138" t="s">
        <v>35</v>
      </c>
      <c r="C40" s="138" t="s">
        <v>175</v>
      </c>
      <c r="D40" s="140">
        <v>27500</v>
      </c>
      <c r="E40" s="140">
        <v>40000</v>
      </c>
      <c r="F40" s="141">
        <v>64</v>
      </c>
      <c r="G40" s="142">
        <v>1</v>
      </c>
      <c r="H40" s="141">
        <f>(Table242325678910111213141516201921[[#This Row],[STOK]]-Table242325678910111213141516201921[[#This Row],[TERJUAL]])</f>
        <v>63</v>
      </c>
      <c r="I40" s="143">
        <f>(Table242325678910111213141516201921[HARGA JUAL]*Table242325678910111213141516201921[TERJUAL])-(Table242325678910111213141516201921[HARGA POKOK]*Table242325678910111213141516201921[TERJUAL])</f>
        <v>12500</v>
      </c>
      <c r="J40" s="143">
        <f>(Table242325678910111213141516201921[HARGA JUAL]*Table242325678910111213141516201921[TERJUAL])</f>
        <v>40000</v>
      </c>
      <c r="K40" s="143">
        <f>Table242325678910111213141516201921[HARGA JUAL]*Table242325678910111213141516201921[SISA]</f>
        <v>2520000</v>
      </c>
      <c r="L40" s="144">
        <f>Table242325678910111213141516201921[HARGA POKOK]*Table242325678910111213141516201921[STOK]</f>
        <v>1760000</v>
      </c>
      <c r="M40" s="144">
        <f>Table242325678910111213141516201921[HARGA JUAL]*Table242325678910111213141516201921[STOK]</f>
        <v>2560000</v>
      </c>
      <c r="N40" s="145"/>
    </row>
    <row r="41" spans="1:14" x14ac:dyDescent="0.25">
      <c r="A41" s="137">
        <v>35</v>
      </c>
      <c r="B41" s="138" t="s">
        <v>31</v>
      </c>
      <c r="C41" s="138" t="s">
        <v>180</v>
      </c>
      <c r="D41" s="140">
        <v>21500</v>
      </c>
      <c r="E41" s="140">
        <v>40000</v>
      </c>
      <c r="F41" s="141">
        <v>70</v>
      </c>
      <c r="G41" s="142">
        <v>8</v>
      </c>
      <c r="H41" s="141">
        <f>(Table242325678910111213141516201921[[#This Row],[STOK]]-Table242325678910111213141516201921[[#This Row],[TERJUAL]])</f>
        <v>62</v>
      </c>
      <c r="I41" s="143">
        <f>(Table242325678910111213141516201921[HARGA JUAL]*Table242325678910111213141516201921[TERJUAL])-(Table242325678910111213141516201921[HARGA POKOK]*Table242325678910111213141516201921[TERJUAL])</f>
        <v>148000</v>
      </c>
      <c r="J41" s="143">
        <f>(Table242325678910111213141516201921[HARGA JUAL]*Table242325678910111213141516201921[TERJUAL])</f>
        <v>320000</v>
      </c>
      <c r="K41" s="143">
        <f>Table242325678910111213141516201921[HARGA JUAL]*Table242325678910111213141516201921[SISA]</f>
        <v>2480000</v>
      </c>
      <c r="L41" s="144">
        <f>Table242325678910111213141516201921[HARGA POKOK]*Table242325678910111213141516201921[STOK]</f>
        <v>1505000</v>
      </c>
      <c r="M41" s="144">
        <f>Table242325678910111213141516201921[HARGA JUAL]*Table242325678910111213141516201921[STOK]</f>
        <v>2800000</v>
      </c>
      <c r="N41" s="145"/>
    </row>
    <row r="42" spans="1:14" x14ac:dyDescent="0.25">
      <c r="A42" s="137">
        <v>36</v>
      </c>
      <c r="B42" s="138" t="s">
        <v>31</v>
      </c>
      <c r="C42" s="138" t="s">
        <v>62</v>
      </c>
      <c r="D42" s="140">
        <v>25000</v>
      </c>
      <c r="E42" s="140">
        <v>15000</v>
      </c>
      <c r="F42" s="141"/>
      <c r="G42" s="142"/>
      <c r="H42" s="141">
        <f>(Table242325678910111213141516201921[[#This Row],[STOK]]-Table242325678910111213141516201921[[#This Row],[TERJUAL]])</f>
        <v>0</v>
      </c>
      <c r="I42" s="143">
        <f>(Table242325678910111213141516201921[HARGA JUAL]*Table242325678910111213141516201921[TERJUAL])-(Table242325678910111213141516201921[HARGA POKOK]*Table242325678910111213141516201921[TERJUAL])</f>
        <v>0</v>
      </c>
      <c r="J42" s="143">
        <f>(Table242325678910111213141516201921[HARGA JUAL]*Table242325678910111213141516201921[TERJUAL])</f>
        <v>0</v>
      </c>
      <c r="K42" s="143">
        <f>Table242325678910111213141516201921[HARGA JUAL]*Table242325678910111213141516201921[SISA]</f>
        <v>0</v>
      </c>
      <c r="L42" s="144">
        <f>Table242325678910111213141516201921[HARGA POKOK]*Table242325678910111213141516201921[STOK]</f>
        <v>0</v>
      </c>
      <c r="M42" s="144">
        <f>Table242325678910111213141516201921[HARGA JUAL]*Table242325678910111213141516201921[STOK]</f>
        <v>0</v>
      </c>
      <c r="N42" s="145"/>
    </row>
    <row r="43" spans="1:14" x14ac:dyDescent="0.25">
      <c r="A43" s="137">
        <v>37</v>
      </c>
      <c r="B43" s="138" t="s">
        <v>31</v>
      </c>
      <c r="C43" s="138" t="s">
        <v>181</v>
      </c>
      <c r="D43" s="140">
        <v>34500</v>
      </c>
      <c r="E43" s="140">
        <v>40000</v>
      </c>
      <c r="F43" s="141">
        <v>111</v>
      </c>
      <c r="G43" s="142"/>
      <c r="H43" s="141">
        <f>(Table242325678910111213141516201921[[#This Row],[STOK]]-Table242325678910111213141516201921[[#This Row],[TERJUAL]])</f>
        <v>111</v>
      </c>
      <c r="I43" s="143">
        <f>(Table242325678910111213141516201921[HARGA JUAL]*Table242325678910111213141516201921[TERJUAL])-(Table242325678910111213141516201921[HARGA POKOK]*Table242325678910111213141516201921[TERJUAL])</f>
        <v>0</v>
      </c>
      <c r="J43" s="143">
        <f>(Table242325678910111213141516201921[HARGA JUAL]*Table242325678910111213141516201921[TERJUAL])</f>
        <v>0</v>
      </c>
      <c r="K43" s="143">
        <f>Table242325678910111213141516201921[HARGA JUAL]*Table242325678910111213141516201921[SISA]</f>
        <v>4440000</v>
      </c>
      <c r="L43" s="144">
        <f>Table242325678910111213141516201921[HARGA POKOK]*Table242325678910111213141516201921[STOK]</f>
        <v>3829500</v>
      </c>
      <c r="M43" s="144">
        <f>Table242325678910111213141516201921[HARGA JUAL]*Table242325678910111213141516201921[STOK]</f>
        <v>4440000</v>
      </c>
      <c r="N43" s="145"/>
    </row>
    <row r="44" spans="1:14" x14ac:dyDescent="0.25">
      <c r="A44" s="137">
        <v>38</v>
      </c>
      <c r="B44" s="138" t="s">
        <v>31</v>
      </c>
      <c r="C44" s="138" t="s">
        <v>64</v>
      </c>
      <c r="D44" s="140">
        <v>24000</v>
      </c>
      <c r="E44" s="140">
        <v>40000</v>
      </c>
      <c r="F44" s="141"/>
      <c r="G44" s="142"/>
      <c r="H44" s="141">
        <f>(Table242325678910111213141516201921[[#This Row],[STOK]]-Table242325678910111213141516201921[[#This Row],[TERJUAL]])</f>
        <v>0</v>
      </c>
      <c r="I44" s="143">
        <f>(Table242325678910111213141516201921[HARGA JUAL]*Table242325678910111213141516201921[TERJUAL])-(Table242325678910111213141516201921[HARGA POKOK]*Table242325678910111213141516201921[TERJUAL])</f>
        <v>0</v>
      </c>
      <c r="J44" s="143">
        <f>(Table242325678910111213141516201921[HARGA JUAL]*Table242325678910111213141516201921[TERJUAL])</f>
        <v>0</v>
      </c>
      <c r="K44" s="143">
        <f>Table242325678910111213141516201921[HARGA JUAL]*Table242325678910111213141516201921[SISA]</f>
        <v>0</v>
      </c>
      <c r="L44" s="144">
        <f>Table242325678910111213141516201921[HARGA POKOK]*Table242325678910111213141516201921[STOK]</f>
        <v>0</v>
      </c>
      <c r="M44" s="144">
        <f>Table242325678910111213141516201921[HARGA JUAL]*Table242325678910111213141516201921[STOK]</f>
        <v>0</v>
      </c>
      <c r="N44" s="145"/>
    </row>
    <row r="45" spans="1:14" x14ac:dyDescent="0.25">
      <c r="A45" s="137">
        <v>39</v>
      </c>
      <c r="B45" s="138" t="s">
        <v>31</v>
      </c>
      <c r="C45" s="138" t="s">
        <v>322</v>
      </c>
      <c r="D45" s="140">
        <v>30000</v>
      </c>
      <c r="E45" s="140">
        <v>40000</v>
      </c>
      <c r="F45" s="141">
        <v>15</v>
      </c>
      <c r="G45" s="142">
        <v>2</v>
      </c>
      <c r="H45" s="141">
        <f>(Table242325678910111213141516201921[[#This Row],[STOK]]-Table242325678910111213141516201921[[#This Row],[TERJUAL]])</f>
        <v>13</v>
      </c>
      <c r="I45" s="143">
        <f>(Table242325678910111213141516201921[HARGA JUAL]*Table242325678910111213141516201921[TERJUAL])-(Table242325678910111213141516201921[HARGA POKOK]*Table242325678910111213141516201921[TERJUAL])</f>
        <v>20000</v>
      </c>
      <c r="J45" s="143">
        <f>(Table242325678910111213141516201921[HARGA JUAL]*Table242325678910111213141516201921[TERJUAL])</f>
        <v>80000</v>
      </c>
      <c r="K45" s="143">
        <f>Table242325678910111213141516201921[HARGA JUAL]*Table242325678910111213141516201921[SISA]</f>
        <v>520000</v>
      </c>
      <c r="L45" s="144">
        <f>Table242325678910111213141516201921[HARGA POKOK]*Table242325678910111213141516201921[STOK]</f>
        <v>450000</v>
      </c>
      <c r="M45" s="144">
        <f>Table242325678910111213141516201921[HARGA JUAL]*Table242325678910111213141516201921[STOK]</f>
        <v>600000</v>
      </c>
      <c r="N45" s="145"/>
    </row>
    <row r="46" spans="1:14" x14ac:dyDescent="0.25">
      <c r="A46" s="137"/>
      <c r="B46" s="138" t="s">
        <v>31</v>
      </c>
      <c r="C46" s="138" t="s">
        <v>319</v>
      </c>
      <c r="D46" s="140">
        <v>63000</v>
      </c>
      <c r="E46" s="140">
        <v>75000</v>
      </c>
      <c r="F46" s="141"/>
      <c r="G46" s="142"/>
      <c r="H46" s="141">
        <f>(Table242325678910111213141516201921[[#This Row],[STOK]]-Table242325678910111213141516201921[[#This Row],[TERJUAL]])</f>
        <v>0</v>
      </c>
      <c r="I46" s="143">
        <f>(Table242325678910111213141516201921[HARGA JUAL]*Table242325678910111213141516201921[TERJUAL])-(Table242325678910111213141516201921[HARGA POKOK]*Table242325678910111213141516201921[TERJUAL])</f>
        <v>0</v>
      </c>
      <c r="J46" s="143">
        <f>(Table242325678910111213141516201921[HARGA JUAL]*Table242325678910111213141516201921[TERJUAL])</f>
        <v>0</v>
      </c>
      <c r="K46" s="143">
        <f>Table242325678910111213141516201921[HARGA JUAL]*Table242325678910111213141516201921[SISA]</f>
        <v>0</v>
      </c>
      <c r="L46" s="144">
        <f>Table242325678910111213141516201921[HARGA POKOK]*Table242325678910111213141516201921[STOK]</f>
        <v>0</v>
      </c>
      <c r="M46" s="144">
        <f>Table242325678910111213141516201921[HARGA JUAL]*Table242325678910111213141516201921[STOK]</f>
        <v>0</v>
      </c>
      <c r="N46" s="145"/>
    </row>
    <row r="47" spans="1:14" x14ac:dyDescent="0.25">
      <c r="A47" s="137">
        <v>40</v>
      </c>
      <c r="B47" s="138" t="s">
        <v>31</v>
      </c>
      <c r="C47" s="138" t="s">
        <v>343</v>
      </c>
      <c r="D47" s="140">
        <v>30000</v>
      </c>
      <c r="E47" s="140">
        <v>35000</v>
      </c>
      <c r="F47" s="141">
        <v>2</v>
      </c>
      <c r="G47" s="142">
        <v>2</v>
      </c>
      <c r="H47" s="141">
        <f>(Table242325678910111213141516201921[[#This Row],[STOK]]-Table242325678910111213141516201921[[#This Row],[TERJUAL]])</f>
        <v>0</v>
      </c>
      <c r="I47" s="143">
        <f>(Table242325678910111213141516201921[HARGA JUAL]*Table242325678910111213141516201921[TERJUAL])-(Table242325678910111213141516201921[HARGA POKOK]*Table242325678910111213141516201921[TERJUAL])</f>
        <v>10000</v>
      </c>
      <c r="J47" s="143">
        <f>(Table242325678910111213141516201921[HARGA JUAL]*Table242325678910111213141516201921[TERJUAL])</f>
        <v>70000</v>
      </c>
      <c r="K47" s="143">
        <f>Table242325678910111213141516201921[HARGA JUAL]*Table242325678910111213141516201921[SISA]</f>
        <v>0</v>
      </c>
      <c r="L47" s="144">
        <f>Table242325678910111213141516201921[HARGA POKOK]*Table242325678910111213141516201921[STOK]</f>
        <v>60000</v>
      </c>
      <c r="M47" s="144">
        <f>Table242325678910111213141516201921[HARGA JUAL]*Table242325678910111213141516201921[STOK]</f>
        <v>70000</v>
      </c>
      <c r="N47" s="145"/>
    </row>
    <row r="48" spans="1:14" x14ac:dyDescent="0.25">
      <c r="A48" s="137">
        <v>41</v>
      </c>
      <c r="B48" s="138" t="s">
        <v>31</v>
      </c>
      <c r="C48" s="138" t="s">
        <v>67</v>
      </c>
      <c r="D48" s="140">
        <v>41000</v>
      </c>
      <c r="E48" s="140">
        <v>45000</v>
      </c>
      <c r="F48" s="141">
        <v>10</v>
      </c>
      <c r="G48" s="142">
        <v>5</v>
      </c>
      <c r="H48" s="141">
        <f>(Table242325678910111213141516201921[[#This Row],[STOK]]-Table242325678910111213141516201921[[#This Row],[TERJUAL]])</f>
        <v>5</v>
      </c>
      <c r="I48" s="143">
        <f>(Table242325678910111213141516201921[HARGA JUAL]*Table242325678910111213141516201921[TERJUAL])-(Table242325678910111213141516201921[HARGA POKOK]*Table242325678910111213141516201921[TERJUAL])</f>
        <v>20000</v>
      </c>
      <c r="J48" s="143">
        <f>(Table242325678910111213141516201921[HARGA JUAL]*Table242325678910111213141516201921[TERJUAL])</f>
        <v>225000</v>
      </c>
      <c r="K48" s="143">
        <f>Table242325678910111213141516201921[HARGA JUAL]*Table242325678910111213141516201921[SISA]</f>
        <v>225000</v>
      </c>
      <c r="L48" s="144">
        <f>Table242325678910111213141516201921[HARGA POKOK]*Table242325678910111213141516201921[STOK]</f>
        <v>410000</v>
      </c>
      <c r="M48" s="144">
        <f>Table242325678910111213141516201921[HARGA JUAL]*Table242325678910111213141516201921[STOK]</f>
        <v>450000</v>
      </c>
      <c r="N48" s="145"/>
    </row>
    <row r="49" spans="1:14" x14ac:dyDescent="0.25">
      <c r="A49" s="137">
        <v>42</v>
      </c>
      <c r="B49" s="138" t="s">
        <v>31</v>
      </c>
      <c r="C49" s="138" t="s">
        <v>309</v>
      </c>
      <c r="D49" s="140">
        <v>30000</v>
      </c>
      <c r="E49" s="140">
        <v>45000</v>
      </c>
      <c r="F49" s="141">
        <v>9</v>
      </c>
      <c r="G49" s="142">
        <v>1</v>
      </c>
      <c r="H49" s="141">
        <f>(Table242325678910111213141516201921[[#This Row],[STOK]]-Table242325678910111213141516201921[[#This Row],[TERJUAL]])</f>
        <v>8</v>
      </c>
      <c r="I49" s="143">
        <f>(Table242325678910111213141516201921[HARGA JUAL]*Table242325678910111213141516201921[TERJUAL])-(Table242325678910111213141516201921[HARGA POKOK]*Table242325678910111213141516201921[TERJUAL])</f>
        <v>15000</v>
      </c>
      <c r="J49" s="143">
        <f>(Table242325678910111213141516201921[HARGA JUAL]*Table242325678910111213141516201921[TERJUAL])</f>
        <v>45000</v>
      </c>
      <c r="K49" s="143">
        <f>Table242325678910111213141516201921[HARGA JUAL]*Table242325678910111213141516201921[SISA]</f>
        <v>360000</v>
      </c>
      <c r="L49" s="144">
        <f>Table242325678910111213141516201921[HARGA POKOK]*Table242325678910111213141516201921[STOK]</f>
        <v>270000</v>
      </c>
      <c r="M49" s="144">
        <f>Table242325678910111213141516201921[HARGA JUAL]*Table242325678910111213141516201921[STOK]</f>
        <v>405000</v>
      </c>
      <c r="N49" s="145"/>
    </row>
    <row r="50" spans="1:14" x14ac:dyDescent="0.25">
      <c r="A50" s="137">
        <v>43</v>
      </c>
      <c r="B50" s="138" t="s">
        <v>31</v>
      </c>
      <c r="C50" s="138" t="s">
        <v>324</v>
      </c>
      <c r="D50" s="140">
        <v>190000</v>
      </c>
      <c r="E50" s="140">
        <v>200000</v>
      </c>
      <c r="F50" s="141">
        <v>4</v>
      </c>
      <c r="G50" s="142">
        <v>1</v>
      </c>
      <c r="H50" s="141">
        <f>(Table242325678910111213141516201921[[#This Row],[STOK]]-Table242325678910111213141516201921[[#This Row],[TERJUAL]])</f>
        <v>3</v>
      </c>
      <c r="I50" s="143">
        <f>(Table242325678910111213141516201921[HARGA JUAL]*Table242325678910111213141516201921[TERJUAL])-(Table242325678910111213141516201921[HARGA POKOK]*Table242325678910111213141516201921[TERJUAL])</f>
        <v>10000</v>
      </c>
      <c r="J50" s="143">
        <f>(Table242325678910111213141516201921[HARGA JUAL]*Table242325678910111213141516201921[TERJUAL])</f>
        <v>200000</v>
      </c>
      <c r="K50" s="143">
        <f>Table242325678910111213141516201921[HARGA JUAL]*Table242325678910111213141516201921[SISA]</f>
        <v>600000</v>
      </c>
      <c r="L50" s="144">
        <f>Table242325678910111213141516201921[HARGA POKOK]*Table242325678910111213141516201921[STOK]</f>
        <v>760000</v>
      </c>
      <c r="M50" s="144">
        <f>Table242325678910111213141516201921[HARGA JUAL]*Table242325678910111213141516201921[STOK]</f>
        <v>800000</v>
      </c>
      <c r="N50" s="145"/>
    </row>
    <row r="51" spans="1:14" x14ac:dyDescent="0.25">
      <c r="A51" s="137">
        <v>44</v>
      </c>
      <c r="B51" s="138" t="s">
        <v>31</v>
      </c>
      <c r="C51" s="138" t="s">
        <v>139</v>
      </c>
      <c r="D51" s="140">
        <v>16000</v>
      </c>
      <c r="E51" s="140">
        <v>25000</v>
      </c>
      <c r="F51" s="141">
        <v>1</v>
      </c>
      <c r="G51" s="142"/>
      <c r="H51" s="141">
        <f>(Table242325678910111213141516201921[[#This Row],[STOK]]-Table242325678910111213141516201921[[#This Row],[TERJUAL]])</f>
        <v>1</v>
      </c>
      <c r="I51" s="143">
        <f>(Table242325678910111213141516201921[HARGA JUAL]*Table242325678910111213141516201921[TERJUAL])-(Table242325678910111213141516201921[HARGA POKOK]*Table242325678910111213141516201921[TERJUAL])</f>
        <v>0</v>
      </c>
      <c r="J51" s="143">
        <f>(Table242325678910111213141516201921[HARGA JUAL]*Table242325678910111213141516201921[TERJUAL])</f>
        <v>0</v>
      </c>
      <c r="K51" s="143">
        <f>Table242325678910111213141516201921[HARGA JUAL]*Table242325678910111213141516201921[SISA]</f>
        <v>25000</v>
      </c>
      <c r="L51" s="144">
        <f>Table242325678910111213141516201921[HARGA POKOK]*Table242325678910111213141516201921[STOK]</f>
        <v>16000</v>
      </c>
      <c r="M51" s="144">
        <f>Table242325678910111213141516201921[HARGA JUAL]*Table242325678910111213141516201921[STOK]</f>
        <v>25000</v>
      </c>
      <c r="N51" s="145"/>
    </row>
    <row r="52" spans="1:14" x14ac:dyDescent="0.25">
      <c r="A52" s="137">
        <v>45</v>
      </c>
      <c r="B52" s="138" t="s">
        <v>31</v>
      </c>
      <c r="C52" s="138" t="s">
        <v>320</v>
      </c>
      <c r="D52" s="140">
        <v>34000</v>
      </c>
      <c r="E52" s="140">
        <v>40000</v>
      </c>
      <c r="F52" s="141">
        <v>8</v>
      </c>
      <c r="G52" s="142"/>
      <c r="H52" s="141">
        <f>(Table242325678910111213141516201921[[#This Row],[STOK]]-Table242325678910111213141516201921[[#This Row],[TERJUAL]])</f>
        <v>8</v>
      </c>
      <c r="I52" s="143">
        <f>(Table242325678910111213141516201921[HARGA JUAL]*Table242325678910111213141516201921[TERJUAL])-(Table242325678910111213141516201921[HARGA POKOK]*Table242325678910111213141516201921[TERJUAL])</f>
        <v>0</v>
      </c>
      <c r="J52" s="143">
        <f>(Table242325678910111213141516201921[HARGA JUAL]*Table242325678910111213141516201921[TERJUAL])</f>
        <v>0</v>
      </c>
      <c r="K52" s="143">
        <f>Table242325678910111213141516201921[HARGA JUAL]*Table242325678910111213141516201921[SISA]</f>
        <v>320000</v>
      </c>
      <c r="L52" s="144">
        <f>Table242325678910111213141516201921[HARGA POKOK]*Table242325678910111213141516201921[STOK]</f>
        <v>272000</v>
      </c>
      <c r="M52" s="144">
        <f>Table242325678910111213141516201921[HARGA JUAL]*Table242325678910111213141516201921[STOK]</f>
        <v>320000</v>
      </c>
      <c r="N52" s="145"/>
    </row>
    <row r="53" spans="1:14" x14ac:dyDescent="0.25">
      <c r="A53" s="137">
        <v>46</v>
      </c>
      <c r="B53" s="138" t="s">
        <v>31</v>
      </c>
      <c r="C53" s="138" t="s">
        <v>318</v>
      </c>
      <c r="D53" s="140">
        <v>18000</v>
      </c>
      <c r="E53" s="140">
        <v>30000</v>
      </c>
      <c r="F53" s="141">
        <v>4</v>
      </c>
      <c r="G53" s="142">
        <v>5</v>
      </c>
      <c r="H53" s="141">
        <f>(Table242325678910111213141516201921[[#This Row],[STOK]]-Table242325678910111213141516201921[[#This Row],[TERJUAL]])</f>
        <v>-1</v>
      </c>
      <c r="I53" s="143">
        <f>(Table242325678910111213141516201921[HARGA JUAL]*Table242325678910111213141516201921[TERJUAL])-(Table242325678910111213141516201921[HARGA POKOK]*Table242325678910111213141516201921[TERJUAL])</f>
        <v>60000</v>
      </c>
      <c r="J53" s="143">
        <f>(Table242325678910111213141516201921[HARGA JUAL]*Table242325678910111213141516201921[TERJUAL])</f>
        <v>150000</v>
      </c>
      <c r="K53" s="143">
        <f>Table242325678910111213141516201921[HARGA JUAL]*Table242325678910111213141516201921[SISA]</f>
        <v>-30000</v>
      </c>
      <c r="L53" s="144">
        <f>Table242325678910111213141516201921[HARGA POKOK]*Table242325678910111213141516201921[STOK]</f>
        <v>72000</v>
      </c>
      <c r="M53" s="144">
        <f>Table242325678910111213141516201921[HARGA JUAL]*Table242325678910111213141516201921[STOK]</f>
        <v>120000</v>
      </c>
      <c r="N53" s="145"/>
    </row>
    <row r="54" spans="1:14" x14ac:dyDescent="0.25">
      <c r="A54" s="137">
        <v>47</v>
      </c>
      <c r="B54" s="138" t="s">
        <v>31</v>
      </c>
      <c r="C54" s="193" t="s">
        <v>184</v>
      </c>
      <c r="D54" s="140">
        <v>12500</v>
      </c>
      <c r="E54" s="140">
        <v>30000</v>
      </c>
      <c r="F54" s="141">
        <v>84</v>
      </c>
      <c r="G54" s="142">
        <v>8</v>
      </c>
      <c r="H54" s="141">
        <f>(Table242325678910111213141516201921[[#This Row],[STOK]]-Table242325678910111213141516201921[[#This Row],[TERJUAL]])</f>
        <v>76</v>
      </c>
      <c r="I54" s="143">
        <f>(Table242325678910111213141516201921[HARGA JUAL]*Table242325678910111213141516201921[TERJUAL])-(Table242325678910111213141516201921[HARGA POKOK]*Table242325678910111213141516201921[TERJUAL])</f>
        <v>140000</v>
      </c>
      <c r="J54" s="143">
        <f>(Table242325678910111213141516201921[HARGA JUAL]*Table242325678910111213141516201921[TERJUAL])</f>
        <v>240000</v>
      </c>
      <c r="K54" s="143">
        <f>Table242325678910111213141516201921[HARGA JUAL]*Table242325678910111213141516201921[SISA]</f>
        <v>2280000</v>
      </c>
      <c r="L54" s="144">
        <f>Table242325678910111213141516201921[HARGA POKOK]*Table242325678910111213141516201921[STOK]</f>
        <v>1050000</v>
      </c>
      <c r="M54" s="144">
        <f>Table242325678910111213141516201921[HARGA JUAL]*Table242325678910111213141516201921[STOK]</f>
        <v>2520000</v>
      </c>
      <c r="N54" s="145"/>
    </row>
    <row r="55" spans="1:14" x14ac:dyDescent="0.25">
      <c r="A55" s="283">
        <v>48</v>
      </c>
      <c r="B55" s="284" t="s">
        <v>31</v>
      </c>
      <c r="C55" s="284" t="s">
        <v>185</v>
      </c>
      <c r="D55" s="285">
        <v>28500</v>
      </c>
      <c r="E55" s="285">
        <v>10000</v>
      </c>
      <c r="F55" s="286">
        <v>10</v>
      </c>
      <c r="G55" s="287"/>
      <c r="H55" s="286">
        <f>(Table242325678910111213141516201921[[#This Row],[STOK]]-Table242325678910111213141516201921[[#This Row],[TERJUAL]])</f>
        <v>10</v>
      </c>
      <c r="I55" s="288">
        <f>(Table242325678910111213141516201921[HARGA JUAL]*Table242325678910111213141516201921[TERJUAL])-(Table242325678910111213141516201921[HARGA POKOK]*Table242325678910111213141516201921[TERJUAL])</f>
        <v>0</v>
      </c>
      <c r="J55" s="288">
        <f>(Table242325678910111213141516201921[HARGA JUAL]*Table242325678910111213141516201921[TERJUAL])</f>
        <v>0</v>
      </c>
      <c r="K55" s="288">
        <f>Table242325678910111213141516201921[HARGA JUAL]*Table242325678910111213141516201921[SISA]</f>
        <v>100000</v>
      </c>
      <c r="L55" s="289">
        <f>Table242325678910111213141516201921[HARGA POKOK]*Table242325678910111213141516201921[STOK]</f>
        <v>285000</v>
      </c>
      <c r="M55" s="289">
        <f>Table242325678910111213141516201921[HARGA JUAL]*Table242325678910111213141516201921[STOK]</f>
        <v>100000</v>
      </c>
      <c r="N55" s="290" t="s">
        <v>179</v>
      </c>
    </row>
    <row r="56" spans="1:14" x14ac:dyDescent="0.25">
      <c r="A56" s="137">
        <v>49</v>
      </c>
      <c r="B56" s="138" t="s">
        <v>31</v>
      </c>
      <c r="C56" s="138" t="s">
        <v>186</v>
      </c>
      <c r="D56" s="140">
        <v>48500</v>
      </c>
      <c r="E56" s="140">
        <v>65000</v>
      </c>
      <c r="F56" s="141">
        <v>9</v>
      </c>
      <c r="G56" s="142"/>
      <c r="H56" s="141">
        <f>(Table242325678910111213141516201921[[#This Row],[STOK]]-Table242325678910111213141516201921[[#This Row],[TERJUAL]])</f>
        <v>9</v>
      </c>
      <c r="I56" s="143">
        <f>(Table242325678910111213141516201921[HARGA JUAL]*Table242325678910111213141516201921[TERJUAL])-(Table242325678910111213141516201921[HARGA POKOK]*Table242325678910111213141516201921[TERJUAL])</f>
        <v>0</v>
      </c>
      <c r="J56" s="143">
        <f>(Table242325678910111213141516201921[HARGA JUAL]*Table242325678910111213141516201921[TERJUAL])</f>
        <v>0</v>
      </c>
      <c r="K56" s="143">
        <f>Table242325678910111213141516201921[HARGA JUAL]*Table242325678910111213141516201921[SISA]</f>
        <v>585000</v>
      </c>
      <c r="L56" s="144">
        <f>Table242325678910111213141516201921[HARGA POKOK]*Table242325678910111213141516201921[STOK]</f>
        <v>436500</v>
      </c>
      <c r="M56" s="144">
        <f>Table242325678910111213141516201921[HARGA JUAL]*Table242325678910111213141516201921[STOK]</f>
        <v>585000</v>
      </c>
      <c r="N56" s="145"/>
    </row>
    <row r="57" spans="1:14" x14ac:dyDescent="0.25">
      <c r="A57" s="137">
        <v>50</v>
      </c>
      <c r="B57" s="138" t="s">
        <v>31</v>
      </c>
      <c r="C57" s="138" t="s">
        <v>187</v>
      </c>
      <c r="D57" s="140">
        <v>47500</v>
      </c>
      <c r="E57" s="140">
        <v>65000</v>
      </c>
      <c r="F57" s="141">
        <v>25</v>
      </c>
      <c r="G57" s="142">
        <v>4</v>
      </c>
      <c r="H57" s="141">
        <f>(Table242325678910111213141516201921[[#This Row],[STOK]]-Table242325678910111213141516201921[[#This Row],[TERJUAL]])</f>
        <v>21</v>
      </c>
      <c r="I57" s="143">
        <f>(Table242325678910111213141516201921[HARGA JUAL]*Table242325678910111213141516201921[TERJUAL])-(Table242325678910111213141516201921[HARGA POKOK]*Table242325678910111213141516201921[TERJUAL])</f>
        <v>70000</v>
      </c>
      <c r="J57" s="143">
        <f>(Table242325678910111213141516201921[HARGA JUAL]*Table242325678910111213141516201921[TERJUAL])</f>
        <v>260000</v>
      </c>
      <c r="K57" s="143">
        <f>Table242325678910111213141516201921[HARGA JUAL]*Table242325678910111213141516201921[SISA]</f>
        <v>1365000</v>
      </c>
      <c r="L57" s="144">
        <f>Table242325678910111213141516201921[HARGA POKOK]*Table242325678910111213141516201921[STOK]</f>
        <v>1187500</v>
      </c>
      <c r="M57" s="144">
        <f>Table242325678910111213141516201921[HARGA JUAL]*Table242325678910111213141516201921[STOK]</f>
        <v>1625000</v>
      </c>
      <c r="N57" s="145"/>
    </row>
    <row r="58" spans="1:14" x14ac:dyDescent="0.25">
      <c r="A58" s="137">
        <v>51</v>
      </c>
      <c r="B58" s="138" t="s">
        <v>32</v>
      </c>
      <c r="C58" s="193" t="s">
        <v>18</v>
      </c>
      <c r="D58" s="140">
        <v>1700</v>
      </c>
      <c r="E58" s="140">
        <v>5000</v>
      </c>
      <c r="F58" s="141">
        <v>169</v>
      </c>
      <c r="G58" s="142">
        <v>82</v>
      </c>
      <c r="H58" s="141">
        <f>(Table242325678910111213141516201921[[#This Row],[STOK]]-Table242325678910111213141516201921[[#This Row],[TERJUAL]])</f>
        <v>87</v>
      </c>
      <c r="I58" s="143">
        <f>(Table242325678910111213141516201921[HARGA JUAL]*Table242325678910111213141516201921[TERJUAL])-(Table242325678910111213141516201921[HARGA POKOK]*Table242325678910111213141516201921[TERJUAL])</f>
        <v>270600</v>
      </c>
      <c r="J58" s="143">
        <f>(Table242325678910111213141516201921[HARGA JUAL]*Table242325678910111213141516201921[TERJUAL])</f>
        <v>410000</v>
      </c>
      <c r="K58" s="143">
        <f>Table242325678910111213141516201921[HARGA JUAL]*Table242325678910111213141516201921[SISA]</f>
        <v>435000</v>
      </c>
      <c r="L58" s="144">
        <f>Table242325678910111213141516201921[HARGA POKOK]*Table242325678910111213141516201921[STOK]</f>
        <v>287300</v>
      </c>
      <c r="M58" s="144">
        <f>Table242325678910111213141516201921[HARGA JUAL]*Table242325678910111213141516201921[STOK]</f>
        <v>845000</v>
      </c>
      <c r="N58" s="145"/>
    </row>
    <row r="59" spans="1:14" x14ac:dyDescent="0.25">
      <c r="A59" s="137">
        <v>52</v>
      </c>
      <c r="B59" s="138" t="s">
        <v>32</v>
      </c>
      <c r="C59" s="138" t="s">
        <v>21</v>
      </c>
      <c r="D59" s="140">
        <v>30000</v>
      </c>
      <c r="E59" s="140">
        <v>45000</v>
      </c>
      <c r="F59" s="141">
        <v>1</v>
      </c>
      <c r="G59" s="142"/>
      <c r="H59" s="141">
        <f>(Table242325678910111213141516201921[[#This Row],[STOK]]-Table242325678910111213141516201921[[#This Row],[TERJUAL]])</f>
        <v>1</v>
      </c>
      <c r="I59" s="143">
        <f>(Table242325678910111213141516201921[HARGA JUAL]*Table242325678910111213141516201921[TERJUAL])-(Table242325678910111213141516201921[HARGA POKOK]*Table242325678910111213141516201921[TERJUAL])</f>
        <v>0</v>
      </c>
      <c r="J59" s="143">
        <f>(Table242325678910111213141516201921[HARGA JUAL]*Table242325678910111213141516201921[TERJUAL])</f>
        <v>0</v>
      </c>
      <c r="K59" s="143">
        <f>Table242325678910111213141516201921[HARGA JUAL]*Table242325678910111213141516201921[SISA]</f>
        <v>45000</v>
      </c>
      <c r="L59" s="144">
        <f>Table242325678910111213141516201921[HARGA POKOK]*Table242325678910111213141516201921[STOK]</f>
        <v>30000</v>
      </c>
      <c r="M59" s="144">
        <f>Table242325678910111213141516201921[HARGA JUAL]*Table242325678910111213141516201921[STOK]</f>
        <v>45000</v>
      </c>
      <c r="N59" s="145"/>
    </row>
    <row r="60" spans="1:14" x14ac:dyDescent="0.25">
      <c r="A60" s="137">
        <v>53</v>
      </c>
      <c r="B60" s="138" t="s">
        <v>32</v>
      </c>
      <c r="C60" s="138" t="s">
        <v>20</v>
      </c>
      <c r="D60" s="140">
        <v>1500</v>
      </c>
      <c r="E60" s="140">
        <v>5000</v>
      </c>
      <c r="F60" s="141">
        <v>56</v>
      </c>
      <c r="G60" s="142">
        <v>5</v>
      </c>
      <c r="H60" s="141">
        <f>(Table242325678910111213141516201921[[#This Row],[STOK]]-Table242325678910111213141516201921[[#This Row],[TERJUAL]])</f>
        <v>51</v>
      </c>
      <c r="I60" s="143">
        <f>(Table242325678910111213141516201921[HARGA JUAL]*Table242325678910111213141516201921[TERJUAL])-(Table242325678910111213141516201921[HARGA POKOK]*Table242325678910111213141516201921[TERJUAL])</f>
        <v>17500</v>
      </c>
      <c r="J60" s="143">
        <f>(Table242325678910111213141516201921[HARGA JUAL]*Table242325678910111213141516201921[TERJUAL])</f>
        <v>25000</v>
      </c>
      <c r="K60" s="143">
        <f>Table242325678910111213141516201921[HARGA JUAL]*Table242325678910111213141516201921[SISA]</f>
        <v>255000</v>
      </c>
      <c r="L60" s="144">
        <f>Table242325678910111213141516201921[HARGA POKOK]*Table242325678910111213141516201921[STOK]</f>
        <v>84000</v>
      </c>
      <c r="M60" s="144">
        <f>Table242325678910111213141516201921[HARGA JUAL]*Table242325678910111213141516201921[STOK]</f>
        <v>280000</v>
      </c>
      <c r="N60" s="145"/>
    </row>
    <row r="61" spans="1:14" x14ac:dyDescent="0.25">
      <c r="A61" s="137">
        <v>54</v>
      </c>
      <c r="B61" s="138" t="s">
        <v>32</v>
      </c>
      <c r="C61" s="138" t="s">
        <v>23</v>
      </c>
      <c r="D61" s="140">
        <v>30000</v>
      </c>
      <c r="E61" s="140">
        <v>40000</v>
      </c>
      <c r="F61" s="141">
        <v>8</v>
      </c>
      <c r="G61" s="142"/>
      <c r="H61" s="141">
        <f>(Table242325678910111213141516201921[[#This Row],[STOK]]-Table242325678910111213141516201921[[#This Row],[TERJUAL]])</f>
        <v>8</v>
      </c>
      <c r="I61" s="143">
        <f>(Table242325678910111213141516201921[HARGA JUAL]*Table242325678910111213141516201921[TERJUAL])-(Table242325678910111213141516201921[HARGA POKOK]*Table242325678910111213141516201921[TERJUAL])</f>
        <v>0</v>
      </c>
      <c r="J61" s="143">
        <f>(Table242325678910111213141516201921[HARGA JUAL]*Table242325678910111213141516201921[TERJUAL])</f>
        <v>0</v>
      </c>
      <c r="K61" s="143">
        <f>Table242325678910111213141516201921[HARGA JUAL]*Table242325678910111213141516201921[SISA]</f>
        <v>320000</v>
      </c>
      <c r="L61" s="144">
        <f>Table242325678910111213141516201921[HARGA POKOK]*Table242325678910111213141516201921[STOK]</f>
        <v>240000</v>
      </c>
      <c r="M61" s="144">
        <f>Table242325678910111213141516201921[HARGA JUAL]*Table242325678910111213141516201921[STOK]</f>
        <v>320000</v>
      </c>
      <c r="N61" s="145"/>
    </row>
    <row r="62" spans="1:14" x14ac:dyDescent="0.25">
      <c r="A62" s="137">
        <v>55</v>
      </c>
      <c r="B62" s="138" t="s">
        <v>32</v>
      </c>
      <c r="C62" s="138" t="s">
        <v>19</v>
      </c>
      <c r="D62" s="140">
        <v>1600</v>
      </c>
      <c r="E62" s="140">
        <v>5000</v>
      </c>
      <c r="F62" s="141">
        <v>179</v>
      </c>
      <c r="G62" s="142">
        <v>13</v>
      </c>
      <c r="H62" s="141">
        <f>(Table242325678910111213141516201921[[#This Row],[STOK]]-Table242325678910111213141516201921[[#This Row],[TERJUAL]])</f>
        <v>166</v>
      </c>
      <c r="I62" s="143">
        <f>(Table242325678910111213141516201921[HARGA JUAL]*Table242325678910111213141516201921[TERJUAL])-(Table242325678910111213141516201921[HARGA POKOK]*Table242325678910111213141516201921[TERJUAL])</f>
        <v>44200</v>
      </c>
      <c r="J62" s="143">
        <f>(Table242325678910111213141516201921[HARGA JUAL]*Table242325678910111213141516201921[TERJUAL])</f>
        <v>65000</v>
      </c>
      <c r="K62" s="143">
        <f>Table242325678910111213141516201921[HARGA JUAL]*Table242325678910111213141516201921[SISA]</f>
        <v>830000</v>
      </c>
      <c r="L62" s="144">
        <f>Table242325678910111213141516201921[HARGA POKOK]*Table242325678910111213141516201921[STOK]</f>
        <v>286400</v>
      </c>
      <c r="M62" s="144">
        <f>Table242325678910111213141516201921[HARGA JUAL]*Table242325678910111213141516201921[STOK]</f>
        <v>895000</v>
      </c>
      <c r="N62" s="145"/>
    </row>
    <row r="63" spans="1:14" x14ac:dyDescent="0.25">
      <c r="A63" s="137">
        <v>56</v>
      </c>
      <c r="B63" s="138" t="s">
        <v>32</v>
      </c>
      <c r="C63" s="138" t="s">
        <v>22</v>
      </c>
      <c r="D63" s="140">
        <v>30000</v>
      </c>
      <c r="E63" s="140">
        <v>40000</v>
      </c>
      <c r="F63" s="141">
        <v>1</v>
      </c>
      <c r="G63" s="142"/>
      <c r="H63" s="141">
        <f>(Table242325678910111213141516201921[[#This Row],[STOK]]-Table242325678910111213141516201921[[#This Row],[TERJUAL]])</f>
        <v>1</v>
      </c>
      <c r="I63" s="143">
        <f>(Table242325678910111213141516201921[HARGA JUAL]*Table242325678910111213141516201921[TERJUAL])-(Table242325678910111213141516201921[HARGA POKOK]*Table242325678910111213141516201921[TERJUAL])</f>
        <v>0</v>
      </c>
      <c r="J63" s="143">
        <f>(Table242325678910111213141516201921[HARGA JUAL]*Table242325678910111213141516201921[TERJUAL])</f>
        <v>0</v>
      </c>
      <c r="K63" s="143">
        <f>Table242325678910111213141516201921[HARGA JUAL]*Table242325678910111213141516201921[SISA]</f>
        <v>40000</v>
      </c>
      <c r="L63" s="144">
        <f>Table242325678910111213141516201921[HARGA POKOK]*Table242325678910111213141516201921[STOK]</f>
        <v>30000</v>
      </c>
      <c r="M63" s="144">
        <f>Table242325678910111213141516201921[HARGA JUAL]*Table242325678910111213141516201921[STOK]</f>
        <v>40000</v>
      </c>
      <c r="N63" s="145"/>
    </row>
    <row r="64" spans="1:14" x14ac:dyDescent="0.25">
      <c r="A64" s="137">
        <v>57</v>
      </c>
      <c r="B64" s="138" t="s">
        <v>32</v>
      </c>
      <c r="C64" s="138" t="s">
        <v>24</v>
      </c>
      <c r="D64" s="140">
        <v>17500</v>
      </c>
      <c r="E64" s="140">
        <v>40000</v>
      </c>
      <c r="F64" s="141">
        <v>0</v>
      </c>
      <c r="G64" s="142"/>
      <c r="H64" s="141">
        <f>(Table242325678910111213141516201921[[#This Row],[STOK]]-Table242325678910111213141516201921[[#This Row],[TERJUAL]])</f>
        <v>0</v>
      </c>
      <c r="I64" s="143">
        <f>(Table242325678910111213141516201921[HARGA JUAL]*Table242325678910111213141516201921[TERJUAL])-(Table242325678910111213141516201921[HARGA POKOK]*Table242325678910111213141516201921[TERJUAL])</f>
        <v>0</v>
      </c>
      <c r="J64" s="143">
        <f>(Table242325678910111213141516201921[HARGA JUAL]*Table242325678910111213141516201921[TERJUAL])</f>
        <v>0</v>
      </c>
      <c r="K64" s="143">
        <f>Table242325678910111213141516201921[HARGA JUAL]*Table242325678910111213141516201921[SISA]</f>
        <v>0</v>
      </c>
      <c r="L64" s="144">
        <f>Table242325678910111213141516201921[HARGA POKOK]*Table242325678910111213141516201921[STOK]</f>
        <v>0</v>
      </c>
      <c r="M64" s="144">
        <f>Table242325678910111213141516201921[HARGA JUAL]*Table242325678910111213141516201921[STOK]</f>
        <v>0</v>
      </c>
      <c r="N64" s="145"/>
    </row>
    <row r="65" spans="1:15" x14ac:dyDescent="0.25">
      <c r="A65" s="137">
        <v>58</v>
      </c>
      <c r="B65" s="138" t="s">
        <v>144</v>
      </c>
      <c r="C65" s="138" t="s">
        <v>145</v>
      </c>
      <c r="D65" s="140">
        <v>3000</v>
      </c>
      <c r="E65" s="140">
        <v>6000</v>
      </c>
      <c r="F65" s="141">
        <v>61</v>
      </c>
      <c r="G65" s="142">
        <v>10</v>
      </c>
      <c r="H65" s="141">
        <f>(Table242325678910111213141516201921[[#This Row],[STOK]]-Table242325678910111213141516201921[[#This Row],[TERJUAL]])</f>
        <v>51</v>
      </c>
      <c r="I65" s="143">
        <f>(Table242325678910111213141516201921[HARGA JUAL]*Table242325678910111213141516201921[TERJUAL])-(Table242325678910111213141516201921[HARGA POKOK]*Table242325678910111213141516201921[TERJUAL])</f>
        <v>30000</v>
      </c>
      <c r="J65" s="143">
        <f>(Table242325678910111213141516201921[HARGA JUAL]*Table242325678910111213141516201921[TERJUAL])</f>
        <v>60000</v>
      </c>
      <c r="K65" s="143">
        <f>Table242325678910111213141516201921[HARGA JUAL]*Table242325678910111213141516201921[SISA]</f>
        <v>306000</v>
      </c>
      <c r="L65" s="144">
        <f>Table242325678910111213141516201921[HARGA POKOK]*Table242325678910111213141516201921[STOK]</f>
        <v>183000</v>
      </c>
      <c r="M65" s="144">
        <f>Table242325678910111213141516201921[HARGA JUAL]*Table242325678910111213141516201921[STOK]</f>
        <v>366000</v>
      </c>
      <c r="N65" s="145"/>
    </row>
    <row r="66" spans="1:15" x14ac:dyDescent="0.25">
      <c r="A66" s="291">
        <v>59</v>
      </c>
      <c r="B66" s="292" t="s">
        <v>290</v>
      </c>
      <c r="C66" s="292" t="s">
        <v>188</v>
      </c>
      <c r="D66" s="293">
        <v>400000</v>
      </c>
      <c r="E66" s="293">
        <v>485000</v>
      </c>
      <c r="F66" s="312">
        <v>278</v>
      </c>
      <c r="G66" s="295">
        <v>106</v>
      </c>
      <c r="H66" s="294">
        <f>(Table242325678910111213141516201921[[#This Row],[STOK]]-Table242325678910111213141516201921[[#This Row],[TERJUAL]])</f>
        <v>172</v>
      </c>
      <c r="I66" s="296">
        <f>(Table242325678910111213141516201921[HARGA JUAL]*Table242325678910111213141516201921[TERJUAL])-(Table242325678910111213141516201921[HARGA POKOK]*Table242325678910111213141516201921[TERJUAL])</f>
        <v>9010000</v>
      </c>
      <c r="J66" s="296">
        <f>(Table242325678910111213141516201921[HARGA JUAL]*Table242325678910111213141516201921[TERJUAL])</f>
        <v>51410000</v>
      </c>
      <c r="K66" s="296">
        <f>Table242325678910111213141516201921[HARGA JUAL]*Table242325678910111213141516201921[SISA]</f>
        <v>83420000</v>
      </c>
      <c r="L66" s="297">
        <f>Table242325678910111213141516201921[HARGA POKOK]*Table242325678910111213141516201921[STOK]</f>
        <v>111200000</v>
      </c>
      <c r="M66" s="297">
        <f>Table242325678910111213141516201921[HARGA JUAL]*Table242325678910111213141516201921[STOK]</f>
        <v>134830000</v>
      </c>
      <c r="N66" s="298"/>
    </row>
    <row r="67" spans="1:15" x14ac:dyDescent="0.25">
      <c r="A67" s="137">
        <v>60</v>
      </c>
      <c r="B67" s="138" t="s">
        <v>33</v>
      </c>
      <c r="C67" s="138" t="s">
        <v>189</v>
      </c>
      <c r="D67" s="140">
        <v>452000</v>
      </c>
      <c r="E67" s="140">
        <v>560000</v>
      </c>
      <c r="F67" s="141">
        <v>0</v>
      </c>
      <c r="G67" s="142"/>
      <c r="H67" s="141">
        <f>(Table242325678910111213141516201921[[#This Row],[STOK]]-Table242325678910111213141516201921[[#This Row],[TERJUAL]])</f>
        <v>0</v>
      </c>
      <c r="I67" s="143">
        <f>(Table242325678910111213141516201921[HARGA JUAL]*Table242325678910111213141516201921[TERJUAL])-(Table242325678910111213141516201921[HARGA POKOK]*Table242325678910111213141516201921[TERJUAL])</f>
        <v>0</v>
      </c>
      <c r="J67" s="143">
        <f>(Table242325678910111213141516201921[HARGA JUAL]*Table242325678910111213141516201921[TERJUAL])</f>
        <v>0</v>
      </c>
      <c r="K67" s="143">
        <f>Table242325678910111213141516201921[HARGA JUAL]*Table242325678910111213141516201921[SISA]</f>
        <v>0</v>
      </c>
      <c r="L67" s="144">
        <f>Table242325678910111213141516201921[HARGA POKOK]*Table242325678910111213141516201921[STOK]</f>
        <v>0</v>
      </c>
      <c r="M67" s="144">
        <f>Table242325678910111213141516201921[HARGA JUAL]*Table242325678910111213141516201921[STOK]</f>
        <v>0</v>
      </c>
      <c r="N67" s="145"/>
    </row>
    <row r="68" spans="1:15" x14ac:dyDescent="0.25">
      <c r="A68" s="137">
        <v>61</v>
      </c>
      <c r="B68" s="138" t="s">
        <v>192</v>
      </c>
      <c r="C68" s="138" t="s">
        <v>142</v>
      </c>
      <c r="D68" s="140">
        <v>310000</v>
      </c>
      <c r="E68" s="140">
        <v>435000</v>
      </c>
      <c r="F68" s="141">
        <v>1</v>
      </c>
      <c r="G68" s="142">
        <v>1</v>
      </c>
      <c r="H68" s="141">
        <f>(Table242325678910111213141516201921[[#This Row],[STOK]]-Table242325678910111213141516201921[[#This Row],[TERJUAL]])</f>
        <v>0</v>
      </c>
      <c r="I68" s="143">
        <f>(Table242325678910111213141516201921[HARGA JUAL]*Table242325678910111213141516201921[TERJUAL])-(Table242325678910111213141516201921[HARGA POKOK]*Table242325678910111213141516201921[TERJUAL])</f>
        <v>125000</v>
      </c>
      <c r="J68" s="143">
        <f>(Table242325678910111213141516201921[HARGA JUAL]*Table242325678910111213141516201921[TERJUAL])</f>
        <v>435000</v>
      </c>
      <c r="K68" s="143">
        <f>Table242325678910111213141516201921[HARGA JUAL]*Table242325678910111213141516201921[SISA]</f>
        <v>0</v>
      </c>
      <c r="L68" s="144">
        <f>Table242325678910111213141516201921[HARGA POKOK]*Table242325678910111213141516201921[STOK]</f>
        <v>310000</v>
      </c>
      <c r="M68" s="144">
        <f>Table242325678910111213141516201921[HARGA JUAL]*Table242325678910111213141516201921[STOK]</f>
        <v>435000</v>
      </c>
      <c r="N68" s="145"/>
    </row>
    <row r="69" spans="1:15" x14ac:dyDescent="0.25">
      <c r="A69" s="137">
        <v>62</v>
      </c>
      <c r="B69" s="138" t="s">
        <v>192</v>
      </c>
      <c r="C69" s="138" t="s">
        <v>269</v>
      </c>
      <c r="D69" s="140">
        <v>417000</v>
      </c>
      <c r="E69" s="140">
        <v>470000</v>
      </c>
      <c r="F69" s="141">
        <v>2</v>
      </c>
      <c r="G69" s="142">
        <v>2</v>
      </c>
      <c r="H69" s="141">
        <f>(Table242325678910111213141516201921[[#This Row],[STOK]]-Table242325678910111213141516201921[[#This Row],[TERJUAL]])</f>
        <v>0</v>
      </c>
      <c r="I69" s="143">
        <f>(Table242325678910111213141516201921[HARGA JUAL]*Table242325678910111213141516201921[TERJUAL])-(Table242325678910111213141516201921[HARGA POKOK]*Table242325678910111213141516201921[TERJUAL])</f>
        <v>106000</v>
      </c>
      <c r="J69" s="143">
        <f>(Table242325678910111213141516201921[HARGA JUAL]*Table242325678910111213141516201921[TERJUAL])</f>
        <v>940000</v>
      </c>
      <c r="K69" s="143">
        <f>Table242325678910111213141516201921[HARGA JUAL]*Table242325678910111213141516201921[SISA]</f>
        <v>0</v>
      </c>
      <c r="L69" s="144">
        <f>Table242325678910111213141516201921[HARGA POKOK]*Table242325678910111213141516201921[STOK]</f>
        <v>834000</v>
      </c>
      <c r="M69" s="144">
        <f>Table242325678910111213141516201921[HARGA JUAL]*Table242325678910111213141516201921[STOK]</f>
        <v>940000</v>
      </c>
      <c r="N69" s="145"/>
    </row>
    <row r="70" spans="1:15" x14ac:dyDescent="0.25">
      <c r="A70" s="137">
        <v>63</v>
      </c>
      <c r="B70" s="138" t="s">
        <v>193</v>
      </c>
      <c r="C70" s="138" t="s">
        <v>191</v>
      </c>
      <c r="D70" s="140">
        <v>9000</v>
      </c>
      <c r="E70" s="140">
        <v>16000</v>
      </c>
      <c r="F70" s="141">
        <v>26</v>
      </c>
      <c r="G70" s="142">
        <v>26</v>
      </c>
      <c r="H70" s="141">
        <f>(Table242325678910111213141516201921[[#This Row],[STOK]]-Table242325678910111213141516201921[[#This Row],[TERJUAL]])</f>
        <v>0</v>
      </c>
      <c r="I70" s="143">
        <f>(Table242325678910111213141516201921[HARGA JUAL]*Table242325678910111213141516201921[TERJUAL])-(Table242325678910111213141516201921[HARGA POKOK]*Table242325678910111213141516201921[TERJUAL])</f>
        <v>182000</v>
      </c>
      <c r="J70" s="143">
        <f>(Table242325678910111213141516201921[HARGA JUAL]*Table242325678910111213141516201921[TERJUAL])</f>
        <v>416000</v>
      </c>
      <c r="K70" s="143">
        <f>Table242325678910111213141516201921[HARGA JUAL]*Table242325678910111213141516201921[SISA]</f>
        <v>0</v>
      </c>
      <c r="L70" s="144">
        <f>Table242325678910111213141516201921[HARGA POKOK]*Table242325678910111213141516201921[STOK]</f>
        <v>234000</v>
      </c>
      <c r="M70" s="144">
        <f>Table242325678910111213141516201921[HARGA JUAL]*Table242325678910111213141516201921[STOK]</f>
        <v>416000</v>
      </c>
      <c r="N70" s="145" t="s">
        <v>292</v>
      </c>
    </row>
    <row r="71" spans="1:15" x14ac:dyDescent="0.25">
      <c r="A71" s="137">
        <v>64</v>
      </c>
      <c r="B71" s="138" t="s">
        <v>193</v>
      </c>
      <c r="C71" s="138" t="s">
        <v>214</v>
      </c>
      <c r="D71" s="140">
        <v>9000</v>
      </c>
      <c r="E71" s="140">
        <v>15000</v>
      </c>
      <c r="F71" s="141">
        <v>24</v>
      </c>
      <c r="G71" s="142">
        <v>24</v>
      </c>
      <c r="H71" s="141">
        <f>(Table242325678910111213141516201921[[#This Row],[STOK]]-Table242325678910111213141516201921[[#This Row],[TERJUAL]])</f>
        <v>0</v>
      </c>
      <c r="I71" s="143">
        <f>(Table242325678910111213141516201921[HARGA JUAL]*Table242325678910111213141516201921[TERJUAL])-(Table242325678910111213141516201921[HARGA POKOK]*Table242325678910111213141516201921[TERJUAL])</f>
        <v>144000</v>
      </c>
      <c r="J71" s="143">
        <f>(Table242325678910111213141516201921[HARGA JUAL]*Table242325678910111213141516201921[TERJUAL])</f>
        <v>360000</v>
      </c>
      <c r="K71" s="143">
        <f>Table242325678910111213141516201921[HARGA JUAL]*Table242325678910111213141516201921[SISA]</f>
        <v>0</v>
      </c>
      <c r="L71" s="144">
        <f>Table242325678910111213141516201921[HARGA POKOK]*Table242325678910111213141516201921[STOK]</f>
        <v>216000</v>
      </c>
      <c r="M71" s="144">
        <f>Table242325678910111213141516201921[HARGA JUAL]*Table242325678910111213141516201921[STOK]</f>
        <v>360000</v>
      </c>
      <c r="N71" s="145"/>
    </row>
    <row r="72" spans="1:15" x14ac:dyDescent="0.25">
      <c r="A72" s="137">
        <v>65</v>
      </c>
      <c r="B72" s="138" t="s">
        <v>206</v>
      </c>
      <c r="C72" s="138" t="s">
        <v>207</v>
      </c>
      <c r="D72" s="140">
        <v>12000</v>
      </c>
      <c r="E72" s="140">
        <v>18000</v>
      </c>
      <c r="F72" s="141">
        <v>5</v>
      </c>
      <c r="G72" s="142">
        <v>4</v>
      </c>
      <c r="H72" s="141">
        <f>(Table242325678910111213141516201921[[#This Row],[STOK]]-Table242325678910111213141516201921[[#This Row],[TERJUAL]])</f>
        <v>1</v>
      </c>
      <c r="I72" s="143">
        <f>(Table242325678910111213141516201921[HARGA JUAL]*Table242325678910111213141516201921[TERJUAL])-(Table242325678910111213141516201921[HARGA POKOK]*Table242325678910111213141516201921[TERJUAL])</f>
        <v>24000</v>
      </c>
      <c r="J72" s="143">
        <f>(Table242325678910111213141516201921[HARGA JUAL]*Table242325678910111213141516201921[TERJUAL])</f>
        <v>72000</v>
      </c>
      <c r="K72" s="143">
        <f>Table242325678910111213141516201921[HARGA JUAL]*Table242325678910111213141516201921[SISA]</f>
        <v>18000</v>
      </c>
      <c r="L72" s="144">
        <f>Table242325678910111213141516201921[HARGA POKOK]*Table242325678910111213141516201921[STOK]</f>
        <v>60000</v>
      </c>
      <c r="M72" s="144">
        <f>Table242325678910111213141516201921[HARGA JUAL]*Table242325678910111213141516201921[STOK]</f>
        <v>90000</v>
      </c>
      <c r="N72" s="145"/>
    </row>
    <row r="73" spans="1:15" x14ac:dyDescent="0.25">
      <c r="A73" s="137">
        <v>66</v>
      </c>
      <c r="B73" s="138" t="s">
        <v>206</v>
      </c>
      <c r="C73" s="138" t="s">
        <v>208</v>
      </c>
      <c r="D73" s="140">
        <v>21000</v>
      </c>
      <c r="E73" s="140">
        <v>32000</v>
      </c>
      <c r="F73" s="141">
        <v>9</v>
      </c>
      <c r="G73" s="142">
        <v>2</v>
      </c>
      <c r="H73" s="141">
        <f>(Table242325678910111213141516201921[[#This Row],[STOK]]-Table242325678910111213141516201921[[#This Row],[TERJUAL]])</f>
        <v>7</v>
      </c>
      <c r="I73" s="143">
        <f>(Table242325678910111213141516201921[HARGA JUAL]*Table242325678910111213141516201921[TERJUAL])-(Table242325678910111213141516201921[HARGA POKOK]*Table242325678910111213141516201921[TERJUAL])</f>
        <v>22000</v>
      </c>
      <c r="J73" s="143">
        <f>(Table242325678910111213141516201921[HARGA JUAL]*Table242325678910111213141516201921[TERJUAL])</f>
        <v>64000</v>
      </c>
      <c r="K73" s="143">
        <f>Table242325678910111213141516201921[HARGA JUAL]*Table242325678910111213141516201921[SISA]</f>
        <v>224000</v>
      </c>
      <c r="L73" s="144">
        <f>Table242325678910111213141516201921[HARGA POKOK]*Table242325678910111213141516201921[STOK]</f>
        <v>189000</v>
      </c>
      <c r="M73" s="144">
        <f>Table242325678910111213141516201921[HARGA JUAL]*Table242325678910111213141516201921[STOK]</f>
        <v>288000</v>
      </c>
      <c r="N73" s="145"/>
    </row>
    <row r="74" spans="1:15" x14ac:dyDescent="0.25">
      <c r="A74" s="137">
        <v>67</v>
      </c>
      <c r="B74" s="138" t="s">
        <v>209</v>
      </c>
      <c r="C74" s="138" t="s">
        <v>210</v>
      </c>
      <c r="D74" s="140">
        <v>20000</v>
      </c>
      <c r="E74" s="140">
        <v>40000</v>
      </c>
      <c r="F74" s="141">
        <v>2</v>
      </c>
      <c r="G74" s="142"/>
      <c r="H74" s="141">
        <f>(Table242325678910111213141516201921[[#This Row],[STOK]]-Table242325678910111213141516201921[[#This Row],[TERJUAL]])</f>
        <v>2</v>
      </c>
      <c r="I74" s="143">
        <f>(Table242325678910111213141516201921[HARGA JUAL]*Table242325678910111213141516201921[TERJUAL])-(Table242325678910111213141516201921[HARGA POKOK]*Table242325678910111213141516201921[TERJUAL])</f>
        <v>0</v>
      </c>
      <c r="J74" s="143">
        <f>(Table242325678910111213141516201921[HARGA JUAL]*Table242325678910111213141516201921[TERJUAL])</f>
        <v>0</v>
      </c>
      <c r="K74" s="143">
        <f>Table242325678910111213141516201921[HARGA JUAL]*Table242325678910111213141516201921[SISA]</f>
        <v>80000</v>
      </c>
      <c r="L74" s="144">
        <f>Table242325678910111213141516201921[HARGA POKOK]*Table242325678910111213141516201921[STOK]</f>
        <v>40000</v>
      </c>
      <c r="M74" s="144">
        <f>Table242325678910111213141516201921[HARGA JUAL]*Table242325678910111213141516201921[STOK]</f>
        <v>80000</v>
      </c>
      <c r="N74" s="145"/>
    </row>
    <row r="75" spans="1:15" x14ac:dyDescent="0.25">
      <c r="A75" s="137">
        <v>68</v>
      </c>
      <c r="B75" s="138" t="s">
        <v>209</v>
      </c>
      <c r="C75" s="138" t="s">
        <v>211</v>
      </c>
      <c r="D75" s="140">
        <v>26000</v>
      </c>
      <c r="E75" s="140">
        <v>45000</v>
      </c>
      <c r="F75" s="141">
        <v>3</v>
      </c>
      <c r="G75" s="142"/>
      <c r="H75" s="141">
        <f>(Table242325678910111213141516201921[[#This Row],[STOK]]-Table242325678910111213141516201921[[#This Row],[TERJUAL]])</f>
        <v>3</v>
      </c>
      <c r="I75" s="143">
        <f>(Table242325678910111213141516201921[HARGA JUAL]*Table242325678910111213141516201921[TERJUAL])-(Table242325678910111213141516201921[HARGA POKOK]*Table242325678910111213141516201921[TERJUAL])</f>
        <v>0</v>
      </c>
      <c r="J75" s="143">
        <f>(Table242325678910111213141516201921[HARGA JUAL]*Table242325678910111213141516201921[TERJUAL])</f>
        <v>0</v>
      </c>
      <c r="K75" s="143">
        <f>Table242325678910111213141516201921[HARGA JUAL]*Table242325678910111213141516201921[SISA]</f>
        <v>135000</v>
      </c>
      <c r="L75" s="144">
        <f>Table242325678910111213141516201921[HARGA POKOK]*Table242325678910111213141516201921[STOK]</f>
        <v>78000</v>
      </c>
      <c r="M75" s="144">
        <f>Table242325678910111213141516201921[HARGA JUAL]*Table242325678910111213141516201921[STOK]</f>
        <v>135000</v>
      </c>
      <c r="N75" s="145"/>
    </row>
    <row r="76" spans="1:15" x14ac:dyDescent="0.25">
      <c r="A76" s="137">
        <v>69</v>
      </c>
      <c r="B76" s="138" t="s">
        <v>212</v>
      </c>
      <c r="C76" s="138" t="s">
        <v>213</v>
      </c>
      <c r="D76" s="140">
        <v>600000</v>
      </c>
      <c r="E76" s="140">
        <v>800000</v>
      </c>
      <c r="F76" s="141">
        <v>1</v>
      </c>
      <c r="G76" s="142"/>
      <c r="H76" s="141">
        <f>(Table242325678910111213141516201921[[#This Row],[STOK]]-Table242325678910111213141516201921[[#This Row],[TERJUAL]])</f>
        <v>1</v>
      </c>
      <c r="I76" s="143">
        <f>(Table242325678910111213141516201921[HARGA JUAL]*Table242325678910111213141516201921[TERJUAL])-(Table242325678910111213141516201921[HARGA POKOK]*Table242325678910111213141516201921[TERJUAL])</f>
        <v>0</v>
      </c>
      <c r="J76" s="143">
        <f>(Table242325678910111213141516201921[HARGA JUAL]*Table242325678910111213141516201921[TERJUAL])</f>
        <v>0</v>
      </c>
      <c r="K76" s="143">
        <f>Table242325678910111213141516201921[HARGA JUAL]*Table242325678910111213141516201921[SISA]</f>
        <v>800000</v>
      </c>
      <c r="L76" s="144">
        <f>Table242325678910111213141516201921[HARGA POKOK]*Table242325678910111213141516201921[STOK]</f>
        <v>600000</v>
      </c>
      <c r="M76" s="144">
        <f>Table242325678910111213141516201921[HARGA JUAL]*Table242325678910111213141516201921[STOK]</f>
        <v>800000</v>
      </c>
      <c r="N76" s="145"/>
    </row>
    <row r="77" spans="1:15" x14ac:dyDescent="0.25">
      <c r="A77" s="192">
        <v>70</v>
      </c>
      <c r="B77" s="193" t="s">
        <v>194</v>
      </c>
      <c r="C77" s="193" t="s">
        <v>194</v>
      </c>
      <c r="D77" s="194">
        <v>30000</v>
      </c>
      <c r="E77" s="194">
        <v>40000</v>
      </c>
      <c r="F77" s="195">
        <v>9</v>
      </c>
      <c r="G77" s="196">
        <v>1</v>
      </c>
      <c r="H77" s="195">
        <f>(Table242325678910111213141516201921[[#This Row],[STOK]]-Table242325678910111213141516201921[[#This Row],[TERJUAL]])</f>
        <v>8</v>
      </c>
      <c r="I77" s="197">
        <f>(Table242325678910111213141516201921[HARGA JUAL]*Table242325678910111213141516201921[TERJUAL])-(Table242325678910111213141516201921[HARGA POKOK]*Table242325678910111213141516201921[TERJUAL])</f>
        <v>10000</v>
      </c>
      <c r="J77" s="197">
        <f>(Table242325678910111213141516201921[HARGA JUAL]*Table242325678910111213141516201921[TERJUAL])</f>
        <v>40000</v>
      </c>
      <c r="K77" s="197"/>
      <c r="L77" s="198"/>
      <c r="M77" s="198"/>
      <c r="N77" s="199"/>
    </row>
    <row r="78" spans="1:15" x14ac:dyDescent="0.25">
      <c r="A78" s="137">
        <v>71</v>
      </c>
      <c r="B78" s="146" t="s">
        <v>195</v>
      </c>
      <c r="C78" s="146" t="s">
        <v>195</v>
      </c>
      <c r="D78" s="147">
        <v>30000</v>
      </c>
      <c r="E78" s="147">
        <v>40000</v>
      </c>
      <c r="F78" s="148">
        <v>14</v>
      </c>
      <c r="G78" s="149"/>
      <c r="H78" s="148">
        <f>(Table242325678910111213141516201921[[#This Row],[STOK]]-Table242325678910111213141516201921[[#This Row],[TERJUAL]])</f>
        <v>14</v>
      </c>
      <c r="I78" s="150">
        <f>(Table242325678910111213141516201921[HARGA JUAL]*Table242325678910111213141516201921[TERJUAL])-(Table242325678910111213141516201921[HARGA POKOK]*Table242325678910111213141516201921[TERJUAL])</f>
        <v>0</v>
      </c>
      <c r="J78" s="150">
        <f>(Table242325678910111213141516201921[HARGA JUAL]*Table242325678910111213141516201921[TERJUAL])</f>
        <v>0</v>
      </c>
      <c r="K78" s="150">
        <f>Table242325678910111213141516201921[HARGA JUAL]*Table242325678910111213141516201921[SISA]</f>
        <v>560000</v>
      </c>
      <c r="L78" s="151">
        <f>Table242325678910111213141516201921[HARGA POKOK]*Table242325678910111213141516201921[STOK]</f>
        <v>420000</v>
      </c>
      <c r="M78" s="151">
        <f>Table242325678910111213141516201921[HARGA JUAL]*Table242325678910111213141516201921[STOK]</f>
        <v>560000</v>
      </c>
      <c r="N78" s="152"/>
    </row>
    <row r="79" spans="1:15" x14ac:dyDescent="0.25">
      <c r="A79" s="192">
        <v>72</v>
      </c>
      <c r="B79" s="193" t="s">
        <v>215</v>
      </c>
      <c r="C79" s="193" t="s">
        <v>215</v>
      </c>
      <c r="D79" s="194">
        <v>310000</v>
      </c>
      <c r="E79" s="194">
        <v>410000</v>
      </c>
      <c r="F79" s="195">
        <v>1</v>
      </c>
      <c r="G79" s="196"/>
      <c r="H79" s="195">
        <f>(Table242325678910111213141516201921[[#This Row],[STOK]]-Table242325678910111213141516201921[[#This Row],[TERJUAL]])</f>
        <v>1</v>
      </c>
      <c r="I79" s="197">
        <f>(Table242325678910111213141516201921[HARGA JUAL]*Table242325678910111213141516201921[TERJUAL])-(Table242325678910111213141516201921[HARGA POKOK]*Table242325678910111213141516201921[TERJUAL])</f>
        <v>0</v>
      </c>
      <c r="J79" s="197">
        <f>(Table242325678910111213141516201921[HARGA JUAL]*Table242325678910111213141516201921[TERJUAL])</f>
        <v>0</v>
      </c>
      <c r="K79" s="197">
        <f>Table242325678910111213141516201921[HARGA JUAL]*Table242325678910111213141516201921[SISA]</f>
        <v>410000</v>
      </c>
      <c r="L79" s="198">
        <f>Table242325678910111213141516201921[HARGA POKOK]*Table242325678910111213141516201921[STOK]</f>
        <v>310000</v>
      </c>
      <c r="M79" s="198">
        <f>Table242325678910111213141516201921[HARGA JUAL]*Table242325678910111213141516201921[STOK]</f>
        <v>410000</v>
      </c>
      <c r="N79" s="199"/>
    </row>
    <row r="80" spans="1:15" s="180" customFormat="1" x14ac:dyDescent="0.25">
      <c r="A80" s="137">
        <v>73</v>
      </c>
      <c r="B80" s="153" t="s">
        <v>212</v>
      </c>
      <c r="C80" s="153" t="s">
        <v>213</v>
      </c>
      <c r="D80" s="154">
        <v>6000</v>
      </c>
      <c r="E80" s="154">
        <v>8000</v>
      </c>
      <c r="F80" s="155"/>
      <c r="G80" s="178"/>
      <c r="H80" s="155">
        <f>(Table242325678910111213141516201921[[#This Row],[STOK]]-Table242325678910111213141516201921[[#This Row],[TERJUAL]])</f>
        <v>0</v>
      </c>
      <c r="I80" s="157">
        <f>(Table242325678910111213141516201921[HARGA JUAL]*Table242325678910111213141516201921[TERJUAL])-(Table242325678910111213141516201921[HARGA POKOK]*Table242325678910111213141516201921[TERJUAL])</f>
        <v>0</v>
      </c>
      <c r="J80" s="157">
        <f>(Table242325678910111213141516201921[HARGA JUAL]*Table242325678910111213141516201921[TERJUAL])</f>
        <v>0</v>
      </c>
      <c r="K80" s="157"/>
      <c r="L80" s="158"/>
      <c r="M80" s="158"/>
      <c r="N80" s="179"/>
      <c r="O80" s="201"/>
    </row>
    <row r="81" spans="1:15" s="180" customFormat="1" x14ac:dyDescent="0.25">
      <c r="A81" s="137">
        <v>74</v>
      </c>
      <c r="B81" s="153" t="s">
        <v>71</v>
      </c>
      <c r="C81" s="153" t="s">
        <v>194</v>
      </c>
      <c r="D81" s="154">
        <v>1200</v>
      </c>
      <c r="E81" s="154">
        <v>2000</v>
      </c>
      <c r="F81" s="155"/>
      <c r="G81" s="156">
        <v>20</v>
      </c>
      <c r="H81" s="155">
        <f>(Table242325678910111213141516201921[[#This Row],[STOK]]-Table242325678910111213141516201921[[#This Row],[TERJUAL]])</f>
        <v>-20</v>
      </c>
      <c r="I81" s="157">
        <f>(Table242325678910111213141516201921[HARGA JUAL]*Table242325678910111213141516201921[TERJUAL])-(Table242325678910111213141516201921[HARGA POKOK]*Table242325678910111213141516201921[TERJUAL])</f>
        <v>16000</v>
      </c>
      <c r="J81" s="157">
        <f>(Table242325678910111213141516201921[HARGA JUAL]*Table242325678910111213141516201921[TERJUAL])</f>
        <v>40000</v>
      </c>
      <c r="K81" s="157"/>
      <c r="L81" s="158"/>
      <c r="M81" s="158"/>
      <c r="N81" s="179"/>
      <c r="O81" s="201"/>
    </row>
    <row r="82" spans="1:15" s="180" customFormat="1" x14ac:dyDescent="0.25">
      <c r="A82" s="137">
        <v>75</v>
      </c>
      <c r="B82" s="153" t="s">
        <v>71</v>
      </c>
      <c r="C82" s="153" t="s">
        <v>195</v>
      </c>
      <c r="D82" s="154">
        <v>700</v>
      </c>
      <c r="E82" s="154">
        <v>1500</v>
      </c>
      <c r="F82" s="155"/>
      <c r="G82" s="156">
        <v>10</v>
      </c>
      <c r="H82" s="155">
        <f>(Table242325678910111213141516201921[[#This Row],[STOK]]-Table242325678910111213141516201921[[#This Row],[TERJUAL]])</f>
        <v>-10</v>
      </c>
      <c r="I82" s="157">
        <f>(Table242325678910111213141516201921[HARGA JUAL]*Table242325678910111213141516201921[TERJUAL])-(Table242325678910111213141516201921[HARGA POKOK]*Table242325678910111213141516201921[TERJUAL])</f>
        <v>8000</v>
      </c>
      <c r="J82" s="157">
        <f>(Table242325678910111213141516201921[HARGA JUAL]*Table242325678910111213141516201921[TERJUAL])</f>
        <v>15000</v>
      </c>
      <c r="K82" s="157"/>
      <c r="L82" s="158"/>
      <c r="M82" s="158"/>
      <c r="N82" s="179"/>
      <c r="O82" s="201"/>
    </row>
    <row r="83" spans="1:15" s="201" customFormat="1" x14ac:dyDescent="0.25">
      <c r="A83" s="261">
        <v>76</v>
      </c>
      <c r="B83" s="256" t="s">
        <v>68</v>
      </c>
      <c r="C83" s="256" t="s">
        <v>69</v>
      </c>
      <c r="D83" s="268">
        <v>8200</v>
      </c>
      <c r="E83" s="262">
        <v>11000</v>
      </c>
      <c r="F83" s="263"/>
      <c r="G83" s="269">
        <v>1442</v>
      </c>
      <c r="H83" s="263">
        <f>(Table242325678910111213141516201921[[#This Row],[STOK]]-Table242325678910111213141516201921[[#This Row],[TERJUAL]])</f>
        <v>-1442</v>
      </c>
      <c r="I83" s="265">
        <f>(Table242325678910111213141516201921[HARGA JUAL]*Table242325678910111213141516201921[TERJUAL])-(Table242325678910111213141516201921[HARGA POKOK]*Table242325678910111213141516201921[TERJUAL])</f>
        <v>4037600</v>
      </c>
      <c r="J83" s="265">
        <f>(Table242325678910111213141516201921[HARGA JUAL]*Table242325678910111213141516201921[TERJUAL])</f>
        <v>15862000</v>
      </c>
      <c r="K83" s="265"/>
      <c r="L83" s="266"/>
      <c r="M83" s="266"/>
      <c r="N83" s="267"/>
    </row>
    <row r="84" spans="1:15" s="180" customFormat="1" x14ac:dyDescent="0.25">
      <c r="A84" s="137">
        <v>77</v>
      </c>
      <c r="B84" s="153" t="s">
        <v>173</v>
      </c>
      <c r="C84" s="153" t="s">
        <v>174</v>
      </c>
      <c r="D84" s="159">
        <v>9040</v>
      </c>
      <c r="E84" s="154">
        <v>12000</v>
      </c>
      <c r="F84" s="155"/>
      <c r="G84" s="156"/>
      <c r="H84" s="155">
        <f>(Table242325678910111213141516201921[[#This Row],[STOK]]-Table242325678910111213141516201921[[#This Row],[TERJUAL]])</f>
        <v>0</v>
      </c>
      <c r="I84" s="157">
        <f>(Table242325678910111213141516201921[HARGA JUAL]*Table242325678910111213141516201921[TERJUAL])-(Table242325678910111213141516201921[HARGA POKOK]*Table242325678910111213141516201921[TERJUAL])</f>
        <v>0</v>
      </c>
      <c r="J84" s="157">
        <f>(Table242325678910111213141516201921[HARGA JUAL]*Table242325678910111213141516201921[TERJUAL])</f>
        <v>0</v>
      </c>
      <c r="K84" s="157"/>
      <c r="L84" s="158"/>
      <c r="M84" s="158"/>
      <c r="N84" s="179"/>
      <c r="O84" s="201"/>
    </row>
    <row r="85" spans="1:15" s="180" customFormat="1" x14ac:dyDescent="0.25">
      <c r="A85" s="137">
        <v>78</v>
      </c>
      <c r="B85" s="153" t="s">
        <v>146</v>
      </c>
      <c r="C85" s="153" t="s">
        <v>152</v>
      </c>
      <c r="D85" s="159">
        <v>6200</v>
      </c>
      <c r="E85" s="154">
        <v>10000</v>
      </c>
      <c r="F85" s="155"/>
      <c r="G85" s="160"/>
      <c r="H85" s="155">
        <f>(Table242325678910111213141516201921[[#This Row],[STOK]]-Table242325678910111213141516201921[[#This Row],[TERJUAL]])</f>
        <v>0</v>
      </c>
      <c r="I85" s="157">
        <f>(Table242325678910111213141516201921[HARGA JUAL]*Table242325678910111213141516201921[TERJUAL])-(Table242325678910111213141516201921[HARGA POKOK]*Table242325678910111213141516201921[TERJUAL])</f>
        <v>0</v>
      </c>
      <c r="J85" s="157">
        <f>(Table242325678910111213141516201921[HARGA JUAL]*Table242325678910111213141516201921[TERJUAL])</f>
        <v>0</v>
      </c>
      <c r="K85" s="157"/>
      <c r="L85" s="158"/>
      <c r="M85" s="158"/>
      <c r="N85" s="179"/>
      <c r="O85" s="201"/>
    </row>
    <row r="86" spans="1:15" s="180" customFormat="1" x14ac:dyDescent="0.25">
      <c r="A86" s="137">
        <v>79</v>
      </c>
      <c r="B86" s="153" t="s">
        <v>321</v>
      </c>
      <c r="C86" s="153" t="s">
        <v>269</v>
      </c>
      <c r="D86" s="159">
        <v>9700</v>
      </c>
      <c r="E86" s="154">
        <v>12000</v>
      </c>
      <c r="F86" s="155"/>
      <c r="G86" s="160"/>
      <c r="H86" s="155">
        <f>(Table242325678910111213141516201921[[#This Row],[STOK]]-Table242325678910111213141516201921[[#This Row],[TERJUAL]])</f>
        <v>0</v>
      </c>
      <c r="I86" s="157">
        <f>(Table242325678910111213141516201921[HARGA JUAL]*Table242325678910111213141516201921[TERJUAL])-(Table242325678910111213141516201921[HARGA POKOK]*Table242325678910111213141516201921[TERJUAL])</f>
        <v>0</v>
      </c>
      <c r="J86" s="157">
        <f>(Table242325678910111213141516201921[HARGA JUAL]*Table242325678910111213141516201921[TERJUAL])</f>
        <v>0</v>
      </c>
      <c r="K86" s="157"/>
      <c r="L86" s="158"/>
      <c r="M86" s="158"/>
      <c r="N86" s="179"/>
      <c r="O86" s="201"/>
    </row>
    <row r="87" spans="1:15" s="180" customFormat="1" x14ac:dyDescent="0.25">
      <c r="A87" s="137">
        <v>80</v>
      </c>
      <c r="B87" s="167" t="s">
        <v>31</v>
      </c>
      <c r="C87" s="167" t="s">
        <v>282</v>
      </c>
      <c r="D87" s="168">
        <v>3000</v>
      </c>
      <c r="E87" s="169">
        <v>5000</v>
      </c>
      <c r="F87" s="170"/>
      <c r="G87" s="171">
        <v>3</v>
      </c>
      <c r="H87" s="172">
        <f>(Table242325678910111213141516201921[[#This Row],[STOK]]-Table242325678910111213141516201921[[#This Row],[TERJUAL]])</f>
        <v>-3</v>
      </c>
      <c r="I87" s="173">
        <f>(Table242325678910111213141516201921[HARGA JUAL]*Table242325678910111213141516201921[TERJUAL])-(Table242325678910111213141516201921[HARGA POKOK]*Table242325678910111213141516201921[TERJUAL])</f>
        <v>6000</v>
      </c>
      <c r="J87" s="173">
        <f>(Table242325678910111213141516201921[HARGA JUAL]*Table242325678910111213141516201921[TERJUAL])</f>
        <v>15000</v>
      </c>
      <c r="K87" s="173"/>
      <c r="L87" s="174"/>
      <c r="M87" s="174"/>
      <c r="N87" s="181"/>
      <c r="O87" s="201"/>
    </row>
    <row r="88" spans="1:15" s="180" customFormat="1" x14ac:dyDescent="0.25">
      <c r="A88" s="255"/>
      <c r="B88" s="167" t="s">
        <v>31</v>
      </c>
      <c r="C88" s="167" t="s">
        <v>283</v>
      </c>
      <c r="D88" s="168">
        <v>3000</v>
      </c>
      <c r="E88" s="169">
        <v>5000</v>
      </c>
      <c r="F88" s="170"/>
      <c r="G88" s="171">
        <v>5</v>
      </c>
      <c r="H88" s="172">
        <f>(Table242325678910111213141516201921[[#This Row],[STOK]]-Table242325678910111213141516201921[[#This Row],[TERJUAL]])</f>
        <v>-5</v>
      </c>
      <c r="I88" s="173">
        <f>(Table242325678910111213141516201921[HARGA JUAL]*Table242325678910111213141516201921[TERJUAL])-(Table242325678910111213141516201921[HARGA POKOK]*Table242325678910111213141516201921[TERJUAL])</f>
        <v>10000</v>
      </c>
      <c r="J88" s="173">
        <f>(Table242325678910111213141516201921[HARGA JUAL]*Table242325678910111213141516201921[TERJUAL])</f>
        <v>25000</v>
      </c>
      <c r="K88" s="173"/>
      <c r="L88" s="174">
        <f>Table242325678910111213141516201921[HARGA POKOK]*Table242325678910111213141516201921[STOK]</f>
        <v>0</v>
      </c>
      <c r="M88" s="174">
        <f>Table242325678910111213141516201921[HARGA JUAL]*Table242325678910111213141516201921[STOK]</f>
        <v>0</v>
      </c>
      <c r="N88" s="181"/>
      <c r="O88" s="201"/>
    </row>
    <row r="89" spans="1:15" s="180" customFormat="1" x14ac:dyDescent="0.25">
      <c r="A89" s="255"/>
      <c r="B89" s="167" t="s">
        <v>31</v>
      </c>
      <c r="C89" s="167" t="s">
        <v>284</v>
      </c>
      <c r="D89" s="168">
        <v>3000</v>
      </c>
      <c r="E89" s="169">
        <v>5000</v>
      </c>
      <c r="F89" s="170"/>
      <c r="G89" s="171">
        <v>9</v>
      </c>
      <c r="H89" s="172">
        <f>(Table242325678910111213141516201921[[#This Row],[STOK]]-Table242325678910111213141516201921[[#This Row],[TERJUAL]])</f>
        <v>-9</v>
      </c>
      <c r="I89" s="173">
        <f>(Table242325678910111213141516201921[HARGA JUAL]*Table242325678910111213141516201921[TERJUAL])-(Table242325678910111213141516201921[HARGA POKOK]*Table242325678910111213141516201921[TERJUAL])</f>
        <v>18000</v>
      </c>
      <c r="J89" s="173">
        <f>(Table242325678910111213141516201921[HARGA JUAL]*Table242325678910111213141516201921[TERJUAL])</f>
        <v>45000</v>
      </c>
      <c r="K89" s="173"/>
      <c r="L89" s="174">
        <f>Table242325678910111213141516201921[HARGA POKOK]*Table242325678910111213141516201921[STOK]</f>
        <v>0</v>
      </c>
      <c r="M89" s="174">
        <f>Table242325678910111213141516201921[HARGA JUAL]*Table242325678910111213141516201921[STOK]</f>
        <v>0</v>
      </c>
      <c r="N89" s="181"/>
      <c r="O89" s="201"/>
    </row>
    <row r="90" spans="1:15" s="180" customFormat="1" x14ac:dyDescent="0.25">
      <c r="A90" s="255"/>
      <c r="B90" s="167" t="s">
        <v>31</v>
      </c>
      <c r="C90" s="167" t="s">
        <v>307</v>
      </c>
      <c r="D90" s="168">
        <v>2000</v>
      </c>
      <c r="E90" s="169">
        <v>5000</v>
      </c>
      <c r="F90" s="170"/>
      <c r="G90" s="171">
        <v>10</v>
      </c>
      <c r="H90" s="172">
        <f>(Table242325678910111213141516201921[[#This Row],[STOK]]-Table242325678910111213141516201921[[#This Row],[TERJUAL]])</f>
        <v>-10</v>
      </c>
      <c r="I90" s="173">
        <f>(Table242325678910111213141516201921[HARGA JUAL]*Table242325678910111213141516201921[TERJUAL])-(Table242325678910111213141516201921[HARGA POKOK]*Table242325678910111213141516201921[TERJUAL])</f>
        <v>30000</v>
      </c>
      <c r="J90" s="173">
        <f>(Table242325678910111213141516201921[HARGA JUAL]*Table242325678910111213141516201921[TERJUAL])</f>
        <v>50000</v>
      </c>
      <c r="K90" s="173">
        <f>Table242325678910111213141516201921[HARGA JUAL]*Table242325678910111213141516201921[SISA]</f>
        <v>-50000</v>
      </c>
      <c r="L90" s="174">
        <f>Table242325678910111213141516201921[HARGA POKOK]*Table242325678910111213141516201921[STOK]</f>
        <v>0</v>
      </c>
      <c r="M90" s="174">
        <f>Table242325678910111213141516201921[HARGA JUAL]*Table242325678910111213141516201921[STOK]</f>
        <v>0</v>
      </c>
      <c r="N90" s="181"/>
      <c r="O90" s="201"/>
    </row>
    <row r="91" spans="1:15" s="180" customFormat="1" x14ac:dyDescent="0.25">
      <c r="A91" s="255"/>
      <c r="B91" s="167" t="s">
        <v>308</v>
      </c>
      <c r="C91" s="167" t="s">
        <v>205</v>
      </c>
      <c r="D91" s="168">
        <v>45000</v>
      </c>
      <c r="E91" s="169">
        <v>50000</v>
      </c>
      <c r="F91" s="170"/>
      <c r="G91" s="171"/>
      <c r="H91" s="172">
        <f>(Table242325678910111213141516201921[[#This Row],[STOK]]-Table242325678910111213141516201921[[#This Row],[TERJUAL]])</f>
        <v>0</v>
      </c>
      <c r="I91" s="173">
        <f>(Table242325678910111213141516201921[HARGA JUAL]*Table242325678910111213141516201921[TERJUAL])-(Table242325678910111213141516201921[HARGA POKOK]*Table242325678910111213141516201921[TERJUAL])</f>
        <v>0</v>
      </c>
      <c r="J91" s="173">
        <f>(Table242325678910111213141516201921[HARGA JUAL]*Table242325678910111213141516201921[TERJUAL])</f>
        <v>0</v>
      </c>
      <c r="K91" s="173">
        <f>Table242325678910111213141516201921[HARGA JUAL]*Table242325678910111213141516201921[SISA]</f>
        <v>0</v>
      </c>
      <c r="L91" s="174">
        <f>Table242325678910111213141516201921[HARGA POKOK]*Table242325678910111213141516201921[STOK]</f>
        <v>0</v>
      </c>
      <c r="M91" s="174">
        <f>Table242325678910111213141516201921[HARGA JUAL]*Table242325678910111213141516201921[STOK]</f>
        <v>0</v>
      </c>
      <c r="N91" s="181"/>
      <c r="O91" s="201"/>
    </row>
    <row r="92" spans="1:15" s="180" customFormat="1" x14ac:dyDescent="0.25">
      <c r="A92" s="255"/>
      <c r="B92" s="167" t="s">
        <v>331</v>
      </c>
      <c r="C92" s="167" t="s">
        <v>332</v>
      </c>
      <c r="D92" s="168">
        <v>85000</v>
      </c>
      <c r="E92" s="169">
        <v>115000</v>
      </c>
      <c r="F92" s="170">
        <v>16</v>
      </c>
      <c r="G92" s="171">
        <v>16</v>
      </c>
      <c r="H92" s="172">
        <f>(Table242325678910111213141516201921[[#This Row],[STOK]]-Table242325678910111213141516201921[[#This Row],[TERJUAL]])</f>
        <v>0</v>
      </c>
      <c r="I92" s="173">
        <f>(Table242325678910111213141516201921[HARGA JUAL]*Table242325678910111213141516201921[TERJUAL])-(Table242325678910111213141516201921[HARGA POKOK]*Table242325678910111213141516201921[TERJUAL])</f>
        <v>480000</v>
      </c>
      <c r="J92" s="173">
        <f>(Table242325678910111213141516201921[HARGA JUAL]*Table242325678910111213141516201921[TERJUAL])</f>
        <v>1840000</v>
      </c>
      <c r="K92" s="173">
        <f>Table242325678910111213141516201921[HARGA JUAL]*Table242325678910111213141516201921[SISA]</f>
        <v>0</v>
      </c>
      <c r="L92" s="174">
        <f>Table242325678910111213141516201921[HARGA POKOK]*Table242325678910111213141516201921[STOK]</f>
        <v>1360000</v>
      </c>
      <c r="M92" s="174">
        <f>Table242325678910111213141516201921[HARGA JUAL]*Table242325678910111213141516201921[STOK]</f>
        <v>1840000</v>
      </c>
      <c r="N92" s="181"/>
      <c r="O92" s="201"/>
    </row>
    <row r="93" spans="1:15" ht="18.75" x14ac:dyDescent="0.25">
      <c r="A93" s="404" t="s">
        <v>8</v>
      </c>
      <c r="B93" s="404"/>
      <c r="C93" s="404"/>
      <c r="D93" s="404"/>
      <c r="E93" s="404"/>
      <c r="F93" s="39"/>
      <c r="G93" s="39"/>
      <c r="H93" s="40"/>
      <c r="I93" s="175">
        <f>SUM(I5:I92)</f>
        <v>21193400</v>
      </c>
      <c r="J93" s="176">
        <f>SUM(J5:J92)</f>
        <v>99834000</v>
      </c>
      <c r="K93" s="41">
        <f>SUBTOTAL(109,Table242325678910111213141516201921[TOTAL HARGA SISA BARANG])</f>
        <v>168840000</v>
      </c>
      <c r="L93" s="177">
        <f>SUM(L5:L92)</f>
        <v>202245200</v>
      </c>
      <c r="M93" s="42">
        <f>SUM(M5:M70)</f>
        <v>248069000</v>
      </c>
      <c r="N93" s="145"/>
    </row>
    <row r="94" spans="1:15" x14ac:dyDescent="0.25">
      <c r="B94" s="1"/>
      <c r="C94" s="3"/>
      <c r="G94" s="1"/>
      <c r="H94" s="11"/>
      <c r="I94" s="6"/>
      <c r="J94" s="6"/>
      <c r="K94" s="6"/>
      <c r="L94" s="1"/>
      <c r="M94" s="1"/>
    </row>
    <row r="95" spans="1:15" x14ac:dyDescent="0.25">
      <c r="A95" s="165"/>
      <c r="B95" s="28"/>
      <c r="C95" s="28"/>
      <c r="E95" s="386" t="s">
        <v>304</v>
      </c>
      <c r="F95" s="386"/>
      <c r="G95" s="386"/>
      <c r="H95" s="386"/>
      <c r="I95" s="386"/>
      <c r="J95" s="386"/>
      <c r="K95" s="309"/>
      <c r="L95" s="1"/>
      <c r="M95" s="1"/>
    </row>
    <row r="96" spans="1:15" x14ac:dyDescent="0.25">
      <c r="A96" s="165" t="s">
        <v>198</v>
      </c>
      <c r="B96" s="28"/>
      <c r="C96" s="28"/>
      <c r="E96" s="161"/>
      <c r="F96" s="161"/>
      <c r="G96" s="387"/>
      <c r="H96" s="387"/>
      <c r="I96" s="28"/>
      <c r="J96" s="28"/>
      <c r="K96" s="28"/>
      <c r="L96" s="7"/>
    </row>
    <row r="97" spans="1:13" x14ac:dyDescent="0.25">
      <c r="A97" s="165" t="s">
        <v>199</v>
      </c>
      <c r="B97" s="1"/>
      <c r="C97" s="3"/>
      <c r="E97" s="161"/>
      <c r="F97" s="161"/>
      <c r="G97" s="94"/>
      <c r="H97" s="94"/>
      <c r="I97" s="28"/>
      <c r="J97" s="28"/>
      <c r="K97" s="28"/>
      <c r="L97" s="28"/>
    </row>
    <row r="98" spans="1:13" x14ac:dyDescent="0.25">
      <c r="A98" s="165" t="s">
        <v>200</v>
      </c>
      <c r="E98" s="43" t="s">
        <v>82</v>
      </c>
      <c r="F98" s="44"/>
      <c r="G98" s="390">
        <f>SUBTOTAL(109,Table242325678910111213141516201921[TOTAL H. B. LAKU TERJUAL])</f>
        <v>99834000</v>
      </c>
      <c r="H98" s="390"/>
      <c r="I98" s="390"/>
      <c r="J98" s="43"/>
      <c r="K98" s="7"/>
      <c r="L98" s="27"/>
      <c r="M98" s="1"/>
    </row>
    <row r="99" spans="1:13" x14ac:dyDescent="0.25">
      <c r="A99" s="165" t="s">
        <v>348</v>
      </c>
      <c r="C99" s="1"/>
      <c r="E99" s="43"/>
      <c r="F99" s="44"/>
      <c r="G99" s="308"/>
      <c r="H99" s="308"/>
      <c r="I99" s="308"/>
      <c r="J99" s="43"/>
      <c r="K99" s="7"/>
      <c r="L99" s="27"/>
      <c r="M99" s="1"/>
    </row>
    <row r="100" spans="1:13" x14ac:dyDescent="0.25">
      <c r="A100" s="407" t="s">
        <v>0</v>
      </c>
      <c r="B100" s="406" t="s">
        <v>275</v>
      </c>
      <c r="C100" s="406"/>
      <c r="E100" s="43" t="s">
        <v>83</v>
      </c>
      <c r="F100" s="45" t="s">
        <v>84</v>
      </c>
      <c r="G100" s="391">
        <v>1008000</v>
      </c>
      <c r="H100" s="391"/>
      <c r="I100" s="391"/>
      <c r="J100" s="43"/>
      <c r="K100" s="7"/>
      <c r="L100" s="27"/>
      <c r="M100" s="1"/>
    </row>
    <row r="101" spans="1:13" x14ac:dyDescent="0.25">
      <c r="A101" s="407"/>
      <c r="B101" s="225" t="s">
        <v>276</v>
      </c>
      <c r="C101" s="228" t="s">
        <v>277</v>
      </c>
      <c r="E101" s="43" t="s">
        <v>8</v>
      </c>
      <c r="F101" s="43"/>
      <c r="G101" s="392">
        <v>98826000</v>
      </c>
      <c r="H101" s="392"/>
      <c r="I101" s="392"/>
      <c r="J101" s="43"/>
      <c r="K101" s="7"/>
      <c r="L101" s="27"/>
      <c r="M101" s="1"/>
    </row>
    <row r="102" spans="1:13" x14ac:dyDescent="0.25">
      <c r="A102" s="145"/>
      <c r="B102" s="228"/>
      <c r="C102" s="228"/>
      <c r="M102" s="1"/>
    </row>
    <row r="103" spans="1:13" x14ac:dyDescent="0.25">
      <c r="A103" s="7"/>
      <c r="B103" s="310"/>
      <c r="C103" s="310"/>
      <c r="M103" s="1"/>
    </row>
    <row r="104" spans="1:13" x14ac:dyDescent="0.25">
      <c r="A104" s="7"/>
      <c r="B104" s="310"/>
      <c r="C104" s="310"/>
      <c r="M104" s="1"/>
    </row>
    <row r="105" spans="1:13" x14ac:dyDescent="0.25">
      <c r="A105" s="7"/>
      <c r="B105" s="310"/>
      <c r="C105" s="310"/>
      <c r="M105" s="1"/>
    </row>
    <row r="106" spans="1:13" x14ac:dyDescent="0.25">
      <c r="A106" s="7"/>
      <c r="B106" s="310"/>
      <c r="C106" s="310"/>
      <c r="M106" s="1"/>
    </row>
    <row r="107" spans="1:13" x14ac:dyDescent="0.25">
      <c r="A107" s="7"/>
      <c r="B107" s="310"/>
      <c r="C107" s="310"/>
      <c r="M107" s="1"/>
    </row>
    <row r="108" spans="1:13" x14ac:dyDescent="0.25">
      <c r="A108" s="7"/>
      <c r="B108" s="310"/>
      <c r="C108" s="310"/>
      <c r="M108" s="1"/>
    </row>
    <row r="109" spans="1:13" x14ac:dyDescent="0.25">
      <c r="A109" s="7"/>
      <c r="B109" s="310"/>
      <c r="C109" s="310"/>
      <c r="M109" s="1"/>
    </row>
    <row r="110" spans="1:13" x14ac:dyDescent="0.25">
      <c r="A110" s="7"/>
      <c r="B110" s="310"/>
      <c r="C110" s="310"/>
      <c r="M110" s="1"/>
    </row>
    <row r="111" spans="1:13" x14ac:dyDescent="0.25">
      <c r="A111" s="7"/>
      <c r="B111" s="310"/>
      <c r="C111" s="310"/>
      <c r="M111" s="1"/>
    </row>
    <row r="112" spans="1:13" x14ac:dyDescent="0.25">
      <c r="A112" s="7"/>
      <c r="B112" s="310"/>
      <c r="C112" s="310"/>
      <c r="M112" s="1"/>
    </row>
    <row r="113" spans="1:13" x14ac:dyDescent="0.25">
      <c r="A113" s="7"/>
      <c r="B113" s="310"/>
      <c r="C113" s="310"/>
      <c r="M113" s="1"/>
    </row>
    <row r="114" spans="1:13" x14ac:dyDescent="0.25">
      <c r="A114" s="7"/>
      <c r="B114" s="310"/>
      <c r="C114" s="310"/>
      <c r="M114" s="1"/>
    </row>
    <row r="115" spans="1:13" x14ac:dyDescent="0.25">
      <c r="A115" s="7"/>
      <c r="B115" s="310"/>
      <c r="C115" s="310"/>
      <c r="M115" s="1"/>
    </row>
    <row r="116" spans="1:13" x14ac:dyDescent="0.25">
      <c r="A116" s="7"/>
      <c r="B116" s="310"/>
      <c r="C116" s="310"/>
      <c r="M116" s="1"/>
    </row>
    <row r="117" spans="1:13" x14ac:dyDescent="0.25">
      <c r="A117" s="7"/>
      <c r="B117" s="310"/>
      <c r="C117" s="310"/>
      <c r="M117" s="1"/>
    </row>
    <row r="118" spans="1:13" x14ac:dyDescent="0.25">
      <c r="A118" s="7"/>
      <c r="B118" s="310"/>
      <c r="C118" s="310"/>
      <c r="M118" s="1"/>
    </row>
    <row r="119" spans="1:13" x14ac:dyDescent="0.25">
      <c r="A119" s="7"/>
      <c r="B119" s="310"/>
      <c r="C119" s="310"/>
      <c r="M119" s="1"/>
    </row>
    <row r="120" spans="1:13" x14ac:dyDescent="0.25">
      <c r="A120" s="7"/>
      <c r="B120" s="310"/>
      <c r="C120" s="310"/>
      <c r="M120" s="1"/>
    </row>
    <row r="121" spans="1:13" x14ac:dyDescent="0.25">
      <c r="A121" s="7"/>
      <c r="B121" s="310"/>
      <c r="C121" s="310"/>
      <c r="M121" s="1"/>
    </row>
    <row r="122" spans="1:13" x14ac:dyDescent="0.25">
      <c r="A122" s="7"/>
      <c r="B122" s="310"/>
      <c r="C122" s="310"/>
      <c r="M122" s="1"/>
    </row>
    <row r="123" spans="1:13" x14ac:dyDescent="0.25">
      <c r="A123" s="7"/>
      <c r="B123" s="310"/>
      <c r="C123" s="310"/>
      <c r="M123" s="1"/>
    </row>
    <row r="124" spans="1:13" x14ac:dyDescent="0.25">
      <c r="A124" s="7"/>
      <c r="B124" s="310"/>
      <c r="C124" s="310"/>
      <c r="M124" s="1"/>
    </row>
    <row r="125" spans="1:13" x14ac:dyDescent="0.25">
      <c r="A125" s="7"/>
      <c r="B125" s="310"/>
      <c r="C125" s="310"/>
      <c r="M125" s="1"/>
    </row>
    <row r="126" spans="1:13" x14ac:dyDescent="0.25">
      <c r="A126" s="7"/>
      <c r="B126" s="310"/>
      <c r="C126" s="310"/>
      <c r="M126" s="1"/>
    </row>
    <row r="127" spans="1:13" x14ac:dyDescent="0.25">
      <c r="A127" s="7"/>
      <c r="B127" s="310"/>
      <c r="C127" s="310"/>
      <c r="M127" s="1"/>
    </row>
    <row r="128" spans="1:13" x14ac:dyDescent="0.25">
      <c r="A128" s="7"/>
      <c r="B128" s="310"/>
      <c r="C128" s="310"/>
      <c r="M128" s="1"/>
    </row>
    <row r="129" spans="1:13" x14ac:dyDescent="0.25">
      <c r="A129" s="7"/>
      <c r="B129" s="310"/>
      <c r="C129" s="310"/>
      <c r="M129" s="1"/>
    </row>
    <row r="130" spans="1:13" x14ac:dyDescent="0.25">
      <c r="A130" s="7"/>
      <c r="B130" s="310"/>
      <c r="C130" s="310"/>
      <c r="M130" s="1"/>
    </row>
    <row r="131" spans="1:13" x14ac:dyDescent="0.25">
      <c r="A131" s="7"/>
      <c r="B131" s="310"/>
      <c r="C131" s="310"/>
      <c r="M131" s="1"/>
    </row>
    <row r="132" spans="1:13" ht="18.75" x14ac:dyDescent="0.3">
      <c r="A132" s="360" t="s">
        <v>99</v>
      </c>
      <c r="B132" s="360"/>
      <c r="C132" s="360"/>
      <c r="D132" s="360"/>
    </row>
    <row r="133" spans="1:13" ht="18.75" x14ac:dyDescent="0.3">
      <c r="A133" s="360" t="s">
        <v>344</v>
      </c>
      <c r="B133" s="360"/>
      <c r="C133" s="360"/>
      <c r="D133" s="360"/>
    </row>
    <row r="134" spans="1:13" ht="18.75" x14ac:dyDescent="0.3">
      <c r="A134" s="360" t="s">
        <v>75</v>
      </c>
      <c r="B134" s="360"/>
      <c r="C134" s="360"/>
      <c r="D134" s="360"/>
    </row>
    <row r="135" spans="1:13" ht="15.75" x14ac:dyDescent="0.25">
      <c r="A135" s="356" t="s">
        <v>111</v>
      </c>
      <c r="B135" s="357"/>
      <c r="C135" s="356" t="s">
        <v>77</v>
      </c>
      <c r="D135" s="357"/>
      <c r="E135" s="7"/>
    </row>
    <row r="136" spans="1:13" ht="15.75" x14ac:dyDescent="0.25">
      <c r="A136" s="306" t="s">
        <v>103</v>
      </c>
      <c r="B136" s="307"/>
      <c r="C136" s="46"/>
      <c r="D136" s="203"/>
      <c r="E136" s="218"/>
    </row>
    <row r="137" spans="1:13" ht="15.75" x14ac:dyDescent="0.25">
      <c r="A137" s="354" t="s">
        <v>102</v>
      </c>
      <c r="B137" s="355"/>
      <c r="C137" s="46">
        <v>98826000</v>
      </c>
      <c r="D137" s="204"/>
      <c r="E137" s="219"/>
    </row>
    <row r="138" spans="1:13" ht="15.75" x14ac:dyDescent="0.25">
      <c r="A138" s="356" t="s">
        <v>104</v>
      </c>
      <c r="B138" s="357"/>
      <c r="C138" s="46"/>
      <c r="D138" s="203">
        <v>98826000</v>
      </c>
      <c r="E138" s="219"/>
    </row>
    <row r="139" spans="1:13" ht="15.75" x14ac:dyDescent="0.25">
      <c r="A139" s="350" t="s">
        <v>106</v>
      </c>
      <c r="B139" s="351"/>
      <c r="C139" s="46"/>
      <c r="D139" s="204">
        <v>77632600</v>
      </c>
      <c r="E139" s="219"/>
      <c r="F139" s="220"/>
      <c r="G139" s="220"/>
      <c r="H139" s="221"/>
      <c r="I139" s="222"/>
    </row>
    <row r="140" spans="1:13" ht="15.75" x14ac:dyDescent="0.25">
      <c r="A140" s="400" t="s">
        <v>162</v>
      </c>
      <c r="B140" s="401"/>
      <c r="C140" s="49"/>
      <c r="D140" s="205">
        <f>(D138-D139)</f>
        <v>21193400</v>
      </c>
      <c r="F140" s="7"/>
      <c r="G140" s="7"/>
      <c r="I140" s="186"/>
      <c r="L140" s="183"/>
    </row>
    <row r="141" spans="1:13" ht="15.75" x14ac:dyDescent="0.25">
      <c r="A141" s="346" t="s">
        <v>105</v>
      </c>
      <c r="B141" s="347"/>
      <c r="C141" s="46"/>
      <c r="D141" s="207"/>
      <c r="I141" s="186"/>
      <c r="L141" s="183"/>
    </row>
    <row r="142" spans="1:13" ht="15.75" x14ac:dyDescent="0.25">
      <c r="A142" s="348" t="s">
        <v>97</v>
      </c>
      <c r="B142" s="349"/>
      <c r="C142" s="46">
        <v>2000000</v>
      </c>
      <c r="D142" s="204"/>
      <c r="I142" s="187"/>
      <c r="L142" s="183"/>
    </row>
    <row r="143" spans="1:13" ht="15.75" x14ac:dyDescent="0.25">
      <c r="A143" s="350" t="s">
        <v>98</v>
      </c>
      <c r="B143" s="351"/>
      <c r="C143" s="46">
        <v>500000</v>
      </c>
      <c r="D143" s="204"/>
      <c r="L143" s="183"/>
    </row>
    <row r="144" spans="1:13" ht="15.75" x14ac:dyDescent="0.25">
      <c r="A144" s="350" t="s">
        <v>287</v>
      </c>
      <c r="B144" s="351"/>
      <c r="C144" s="46">
        <v>100000</v>
      </c>
      <c r="D144" s="204"/>
      <c r="L144" s="183"/>
    </row>
    <row r="145" spans="1:12" ht="15.75" x14ac:dyDescent="0.25">
      <c r="A145" s="350" t="s">
        <v>345</v>
      </c>
      <c r="B145" s="410"/>
      <c r="C145" s="46">
        <v>900000</v>
      </c>
      <c r="D145" s="204"/>
      <c r="L145" s="183"/>
    </row>
    <row r="146" spans="1:12" ht="15.75" x14ac:dyDescent="0.25">
      <c r="A146" s="350" t="s">
        <v>346</v>
      </c>
      <c r="B146" s="351"/>
      <c r="C146" s="46">
        <v>600000</v>
      </c>
      <c r="D146" s="204"/>
      <c r="L146" s="183"/>
    </row>
    <row r="147" spans="1:12" ht="15.75" x14ac:dyDescent="0.25">
      <c r="A147" s="408" t="s">
        <v>288</v>
      </c>
      <c r="B147" s="409"/>
      <c r="C147" s="114">
        <v>216000</v>
      </c>
      <c r="D147" s="208"/>
    </row>
    <row r="148" spans="1:12" ht="15.75" x14ac:dyDescent="0.25">
      <c r="A148" s="352" t="s">
        <v>107</v>
      </c>
      <c r="B148" s="353"/>
      <c r="C148" s="51" t="s">
        <v>117</v>
      </c>
      <c r="D148" s="209">
        <f>SUM(C142:C147)</f>
        <v>4316000</v>
      </c>
    </row>
    <row r="149" spans="1:12" ht="15.75" x14ac:dyDescent="0.25">
      <c r="A149" s="344" t="s">
        <v>108</v>
      </c>
      <c r="B149" s="345"/>
      <c r="C149" s="51"/>
      <c r="D149" s="204"/>
    </row>
    <row r="150" spans="1:12" ht="15.75" x14ac:dyDescent="0.25">
      <c r="A150" s="346" t="s">
        <v>109</v>
      </c>
      <c r="B150" s="347"/>
      <c r="C150" s="48"/>
      <c r="D150" s="205">
        <f>(D140-D148)</f>
        <v>16877400</v>
      </c>
    </row>
    <row r="152" spans="1:12" x14ac:dyDescent="0.25">
      <c r="A152" s="228" t="s">
        <v>0</v>
      </c>
      <c r="B152" s="228" t="s">
        <v>248</v>
      </c>
      <c r="C152" s="228" t="s">
        <v>77</v>
      </c>
      <c r="D152" s="7"/>
    </row>
    <row r="153" spans="1:12" x14ac:dyDescent="0.25">
      <c r="A153" s="228">
        <v>1</v>
      </c>
      <c r="B153" s="225" t="s">
        <v>245</v>
      </c>
      <c r="C153" s="226">
        <v>9800000</v>
      </c>
      <c r="D153" s="7"/>
    </row>
    <row r="154" spans="1:12" x14ac:dyDescent="0.25">
      <c r="A154" s="228">
        <v>2</v>
      </c>
      <c r="B154" s="225" t="s">
        <v>273</v>
      </c>
      <c r="C154" s="226">
        <v>300000</v>
      </c>
      <c r="D154" s="7"/>
    </row>
    <row r="155" spans="1:12" x14ac:dyDescent="0.25">
      <c r="A155" s="228">
        <v>4</v>
      </c>
      <c r="B155" s="225" t="s">
        <v>246</v>
      </c>
      <c r="C155" s="226">
        <v>1190000</v>
      </c>
      <c r="D155" s="7"/>
    </row>
    <row r="156" spans="1:12" x14ac:dyDescent="0.25">
      <c r="A156" s="228">
        <v>5</v>
      </c>
      <c r="B156" s="227" t="s">
        <v>8</v>
      </c>
      <c r="C156" s="226">
        <f>SUM(C153:C155)</f>
        <v>11290000</v>
      </c>
      <c r="D156" s="7"/>
    </row>
    <row r="157" spans="1:12" x14ac:dyDescent="0.25">
      <c r="A157" s="7"/>
      <c r="B157" s="7"/>
      <c r="C157" s="7"/>
      <c r="D157" s="7"/>
    </row>
    <row r="158" spans="1:12" x14ac:dyDescent="0.25">
      <c r="A158" s="228" t="s">
        <v>0</v>
      </c>
      <c r="B158" s="228" t="s">
        <v>248</v>
      </c>
      <c r="C158" s="228" t="s">
        <v>77</v>
      </c>
      <c r="D158" s="7"/>
    </row>
    <row r="159" spans="1:12" x14ac:dyDescent="0.25">
      <c r="A159" s="228">
        <v>1</v>
      </c>
      <c r="B159" s="225" t="s">
        <v>328</v>
      </c>
      <c r="C159" s="226">
        <v>166615000</v>
      </c>
    </row>
    <row r="160" spans="1:12" x14ac:dyDescent="0.25">
      <c r="A160" s="228">
        <v>2</v>
      </c>
      <c r="B160" s="225" t="s">
        <v>326</v>
      </c>
      <c r="C160" s="226">
        <v>166700000</v>
      </c>
    </row>
    <row r="161" spans="1:3" x14ac:dyDescent="0.25">
      <c r="A161" s="228">
        <v>5</v>
      </c>
      <c r="B161" s="227" t="s">
        <v>342</v>
      </c>
      <c r="C161" s="226">
        <v>152862652</v>
      </c>
    </row>
  </sheetData>
  <mergeCells count="29">
    <mergeCell ref="A146:B146"/>
    <mergeCell ref="A147:B147"/>
    <mergeCell ref="A148:B148"/>
    <mergeCell ref="A149:B149"/>
    <mergeCell ref="A150:B150"/>
    <mergeCell ref="A145:B145"/>
    <mergeCell ref="A134:D134"/>
    <mergeCell ref="A135:B135"/>
    <mergeCell ref="C135:D135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33:D133"/>
    <mergeCell ref="A1:N1"/>
    <mergeCell ref="A2:N2"/>
    <mergeCell ref="A93:E93"/>
    <mergeCell ref="E95:J95"/>
    <mergeCell ref="G96:H96"/>
    <mergeCell ref="G98:I98"/>
    <mergeCell ref="A100:A101"/>
    <mergeCell ref="B100:C100"/>
    <mergeCell ref="G100:I100"/>
    <mergeCell ref="G101:I101"/>
    <mergeCell ref="A132:D132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48" workbookViewId="0">
      <selection activeCell="D163" sqref="D163"/>
    </sheetView>
  </sheetViews>
  <sheetFormatPr defaultRowHeight="15" x14ac:dyDescent="0.25"/>
  <cols>
    <col min="1" max="1" width="6.140625" customWidth="1"/>
    <col min="2" max="2" width="23.42578125" customWidth="1"/>
    <col min="3" max="3" width="25.85546875" customWidth="1"/>
    <col min="4" max="4" width="20.28515625" customWidth="1"/>
    <col min="5" max="5" width="15.42578125" customWidth="1"/>
    <col min="6" max="6" width="9.140625" customWidth="1"/>
    <col min="7" max="7" width="11.85546875" customWidth="1"/>
    <col min="8" max="8" width="1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347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s="250" customFormat="1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271">
        <v>6</v>
      </c>
      <c r="G5" s="142">
        <v>2</v>
      </c>
      <c r="H5" s="141">
        <f>(Table24232567891011121314151620192122[[#This Row],[STOK]]-Table24232567891011121314151620192122[[#This Row],[TERJUAL]])</f>
        <v>4</v>
      </c>
      <c r="I5" s="143">
        <f>(Table24232567891011121314151620192122[HARGA JUAL]*Table24232567891011121314151620192122[TERJUAL])-(Table24232567891011121314151620192122[HARGA POKOK]*Table24232567891011121314151620192122[TERJUAL])</f>
        <v>44000</v>
      </c>
      <c r="J5" s="143">
        <f>(Table24232567891011121314151620192122[HARGA JUAL]*Table24232567891011121314151620192122[TERJUAL])</f>
        <v>194000</v>
      </c>
      <c r="K5" s="143">
        <f>Table24232567891011121314151620192122[HARGA JUAL]*Table24232567891011121314151620192122[SISA]</f>
        <v>388000</v>
      </c>
      <c r="L5" s="144">
        <f>Table24232567891011121314151620192122[HARGA POKOK]*Table24232567891011121314151620192122[STOK]</f>
        <v>450000</v>
      </c>
      <c r="M5" s="144">
        <f>Table24232567891011121314151620192122[HARGA JUAL]*Table24232567891011121314151620192122[STOK]</f>
        <v>582000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270">
        <v>34</v>
      </c>
      <c r="G6" s="142">
        <v>31</v>
      </c>
      <c r="H6" s="141">
        <f>(Table24232567891011121314151620192122[[#This Row],[STOK]]-Table24232567891011121314151620192122[[#This Row],[TERJUAL]])</f>
        <v>3</v>
      </c>
      <c r="I6" s="143">
        <f>(Table24232567891011121314151620192122[HARGA JUAL]*Table24232567891011121314151620192122[TERJUAL])-(Table24232567891011121314151620192122[HARGA POKOK]*Table24232567891011121314151620192122[TERJUAL])</f>
        <v>620000</v>
      </c>
      <c r="J6" s="143">
        <f>(Table24232567891011121314151620192122[HARGA JUAL]*Table24232567891011121314151620192122[TERJUAL])</f>
        <v>2480000</v>
      </c>
      <c r="K6" s="143">
        <f>Table24232567891011121314151620192122[HARGA JUAL]*Table24232567891011121314151620192122[SISA]</f>
        <v>240000</v>
      </c>
      <c r="L6" s="144">
        <f>Table24232567891011121314151620192122[HARGA POKOK]*Table24232567891011121314151620192122[STOK]</f>
        <v>2040000</v>
      </c>
      <c r="M6" s="144">
        <f>Table24232567891011121314151620192122[HARGA JUAL]*Table24232567891011121314151620192122[STOK]</f>
        <v>2720000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55000</v>
      </c>
      <c r="E7" s="140">
        <v>70000</v>
      </c>
      <c r="F7" s="141">
        <v>8</v>
      </c>
      <c r="G7" s="142">
        <v>8</v>
      </c>
      <c r="H7" s="141">
        <f>(Table24232567891011121314151620192122[[#This Row],[STOK]]-Table24232567891011121314151620192122[[#This Row],[TERJUAL]])</f>
        <v>0</v>
      </c>
      <c r="I7" s="143">
        <f>(Table24232567891011121314151620192122[HARGA JUAL]*Table24232567891011121314151620192122[TERJUAL])-(Table24232567891011121314151620192122[HARGA POKOK]*Table24232567891011121314151620192122[TERJUAL])</f>
        <v>120000</v>
      </c>
      <c r="J7" s="143">
        <f>(Table24232567891011121314151620192122[HARGA JUAL]*Table24232567891011121314151620192122[TERJUAL])</f>
        <v>560000</v>
      </c>
      <c r="K7" s="143">
        <f>Table24232567891011121314151620192122[HARGA JUAL]*Table24232567891011121314151620192122[SISA]</f>
        <v>0</v>
      </c>
      <c r="L7" s="144">
        <f>Table24232567891011121314151620192122[HARGA POKOK]*Table24232567891011121314151620192122[STOK]</f>
        <v>440000</v>
      </c>
      <c r="M7" s="144">
        <f>Table24232567891011121314151620192122[HARGA JUAL]*Table24232567891011121314151620192122[STOK]</f>
        <v>560000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9</v>
      </c>
      <c r="G8" s="142">
        <v>9</v>
      </c>
      <c r="H8" s="141">
        <f>(Table24232567891011121314151620192122[[#This Row],[STOK]]-Table24232567891011121314151620192122[[#This Row],[TERJUAL]])</f>
        <v>0</v>
      </c>
      <c r="I8" s="143">
        <f>(Table24232567891011121314151620192122[HARGA JUAL]*Table24232567891011121314151620192122[TERJUAL])-(Table24232567891011121314151620192122[HARGA POKOK]*Table24232567891011121314151620192122[TERJUAL])</f>
        <v>148500</v>
      </c>
      <c r="J8" s="143">
        <f>(Table24232567891011121314151620192122[HARGA JUAL]*Table24232567891011121314151620192122[TERJUAL])</f>
        <v>738000</v>
      </c>
      <c r="K8" s="143">
        <f>Table24232567891011121314151620192122[HARGA JUAL]*Table24232567891011121314151620192122[SISA]</f>
        <v>0</v>
      </c>
      <c r="L8" s="144">
        <f>Table24232567891011121314151620192122[HARGA POKOK]*Table24232567891011121314151620192122[STOK]</f>
        <v>589500</v>
      </c>
      <c r="M8" s="144">
        <f>Table24232567891011121314151620192122[HARGA JUAL]*Table24232567891011121314151620192122[STOK]</f>
        <v>738000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51</v>
      </c>
      <c r="G9" s="142">
        <v>26</v>
      </c>
      <c r="H9" s="141">
        <f>(Table24232567891011121314151620192122[[#This Row],[STOK]]-Table24232567891011121314151620192122[[#This Row],[TERJUAL]])</f>
        <v>25</v>
      </c>
      <c r="I9" s="143">
        <f>(Table24232567891011121314151620192122[HARGA JUAL]*Table24232567891011121314151620192122[TERJUAL])-(Table24232567891011121314151620192122[HARGA POKOK]*Table24232567891011121314151620192122[TERJUAL])</f>
        <v>559000</v>
      </c>
      <c r="J9" s="143">
        <f>(Table24232567891011121314151620192122[HARGA JUAL]*Table24232567891011121314151620192122[TERJUAL])</f>
        <v>2080000</v>
      </c>
      <c r="K9" s="143">
        <f>Table24232567891011121314151620192122[HARGA JUAL]*Table24232567891011121314151620192122[SISA]</f>
        <v>2000000</v>
      </c>
      <c r="L9" s="144">
        <f>Table24232567891011121314151620192122[HARGA POKOK]*Table24232567891011121314151620192122[STOK]</f>
        <v>2983500</v>
      </c>
      <c r="M9" s="144">
        <f>Table24232567891011121314151620192122[HARGA JUAL]*Table24232567891011121314151620192122[STOK]</f>
        <v>4080000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10</v>
      </c>
      <c r="G10" s="142">
        <v>6</v>
      </c>
      <c r="H10" s="141">
        <f>(Table24232567891011121314151620192122[[#This Row],[STOK]]-Table24232567891011121314151620192122[[#This Row],[TERJUAL]])</f>
        <v>4</v>
      </c>
      <c r="I10" s="143">
        <f>(Table24232567891011121314151620192122[HARGA JUAL]*Table24232567891011121314151620192122[TERJUAL])-(Table24232567891011121314151620192122[HARGA POKOK]*Table24232567891011121314151620192122[TERJUAL])</f>
        <v>159000</v>
      </c>
      <c r="J10" s="143">
        <f>(Table24232567891011121314151620192122[HARGA JUAL]*Table24232567891011121314151620192122[TERJUAL])</f>
        <v>660000</v>
      </c>
      <c r="K10" s="143">
        <f>Table24232567891011121314151620192122[HARGA JUAL]*Table24232567891011121314151620192122[SISA]</f>
        <v>440000</v>
      </c>
      <c r="L10" s="144">
        <f>Table24232567891011121314151620192122[HARGA POKOK]*Table24232567891011121314151620192122[STOK]</f>
        <v>835000</v>
      </c>
      <c r="M10" s="144">
        <f>Table24232567891011121314151620192122[HARGA JUAL]*Table24232567891011121314151620192122[STOK]</f>
        <v>1100000</v>
      </c>
      <c r="N10" s="145"/>
    </row>
    <row r="11" spans="1:14" s="311" customFormat="1" x14ac:dyDescent="0.25">
      <c r="A11" s="283">
        <v>7</v>
      </c>
      <c r="B11" s="284" t="s">
        <v>28</v>
      </c>
      <c r="C11" s="284" t="s">
        <v>38</v>
      </c>
      <c r="D11" s="285">
        <v>88500</v>
      </c>
      <c r="E11" s="285">
        <v>50000</v>
      </c>
      <c r="F11" s="286">
        <v>8</v>
      </c>
      <c r="G11" s="287"/>
      <c r="H11" s="286">
        <f>(Table24232567891011121314151620192122[[#This Row],[STOK]]-Table24232567891011121314151620192122[[#This Row],[TERJUAL]])</f>
        <v>8</v>
      </c>
      <c r="I11" s="288">
        <f>(Table24232567891011121314151620192122[HARGA JUAL]*Table24232567891011121314151620192122[TERJUAL])-(Table24232567891011121314151620192122[HARGA POKOK]*Table24232567891011121314151620192122[TERJUAL])</f>
        <v>0</v>
      </c>
      <c r="J11" s="288">
        <f>(Table24232567891011121314151620192122[HARGA JUAL]*Table24232567891011121314151620192122[TERJUAL])</f>
        <v>0</v>
      </c>
      <c r="K11" s="288">
        <f>Table24232567891011121314151620192122[HARGA JUAL]*Table24232567891011121314151620192122[SISA]</f>
        <v>400000</v>
      </c>
      <c r="L11" s="289">
        <f>Table24232567891011121314151620192122[HARGA POKOK]*Table24232567891011121314151620192122[STOK]</f>
        <v>708000</v>
      </c>
      <c r="M11" s="289">
        <f>Table24232567891011121314151620192122[HARGA JUAL]*Table24232567891011121314151620192122[STOK]</f>
        <v>400000</v>
      </c>
      <c r="N11" s="290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37</v>
      </c>
      <c r="G12" s="142">
        <v>11</v>
      </c>
      <c r="H12" s="141">
        <f>(Table24232567891011121314151620192122[[#This Row],[STOK]]-Table24232567891011121314151620192122[[#This Row],[TERJUAL]])</f>
        <v>26</v>
      </c>
      <c r="I12" s="143">
        <f>(Table24232567891011121314151620192122[HARGA JUAL]*Table24232567891011121314151620192122[TERJUAL])-(Table24232567891011121314151620192122[HARGA POKOK]*Table24232567891011121314151620192122[TERJUAL])</f>
        <v>66000</v>
      </c>
      <c r="J12" s="143">
        <f>(Table24232567891011121314151620192122[HARGA JUAL]*Table24232567891011121314151620192122[TERJUAL])</f>
        <v>990000</v>
      </c>
      <c r="K12" s="143">
        <f>Table24232567891011121314151620192122[HARGA JUAL]*Table24232567891011121314151620192122[SISA]</f>
        <v>2340000</v>
      </c>
      <c r="L12" s="144">
        <f>Table24232567891011121314151620192122[HARGA POKOK]*Table24232567891011121314151620192122[STOK]</f>
        <v>3108000</v>
      </c>
      <c r="M12" s="144">
        <f>Table24232567891011121314151620192122[HARGA JUAL]*Table24232567891011121314151620192122[STOK]</f>
        <v>3330000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3</v>
      </c>
      <c r="G13" s="142"/>
      <c r="H13" s="141">
        <f>(Table24232567891011121314151620192122[[#This Row],[STOK]]-Table24232567891011121314151620192122[[#This Row],[TERJUAL]])</f>
        <v>3</v>
      </c>
      <c r="I13" s="143">
        <f>(Table24232567891011121314151620192122[HARGA JUAL]*Table24232567891011121314151620192122[TERJUAL])-(Table24232567891011121314151620192122[HARGA POKOK]*Table24232567891011121314151620192122[TERJUAL])</f>
        <v>0</v>
      </c>
      <c r="J13" s="143">
        <f>(Table24232567891011121314151620192122[HARGA JUAL]*Table24232567891011121314151620192122[TERJUAL])</f>
        <v>0</v>
      </c>
      <c r="K13" s="143">
        <f>Table24232567891011121314151620192122[HARGA JUAL]*Table24232567891011121314151620192122[SISA]</f>
        <v>540000</v>
      </c>
      <c r="L13" s="144">
        <f>Table24232567891011121314151620192122[HARGA POKOK]*Table24232567891011121314151620192122[STOK]</f>
        <v>475500</v>
      </c>
      <c r="M13" s="144">
        <f>Table24232567891011121314151620192122[HARGA JUAL]*Table24232567891011121314151620192122[STOK]</f>
        <v>540000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120000</v>
      </c>
      <c r="F14" s="141">
        <v>21</v>
      </c>
      <c r="G14" s="142"/>
      <c r="H14" s="141">
        <f>(Table24232567891011121314151620192122[[#This Row],[STOK]]-Table24232567891011121314151620192122[[#This Row],[TERJUAL]])</f>
        <v>21</v>
      </c>
      <c r="I14" s="143">
        <f>(Table24232567891011121314151620192122[HARGA JUAL]*Table24232567891011121314151620192122[TERJUAL])-(Table24232567891011121314151620192122[HARGA POKOK]*Table24232567891011121314151620192122[TERJUAL])</f>
        <v>0</v>
      </c>
      <c r="J14" s="143">
        <f>(Table24232567891011121314151620192122[HARGA JUAL]*Table24232567891011121314151620192122[TERJUAL])</f>
        <v>0</v>
      </c>
      <c r="K14" s="143">
        <f>Table24232567891011121314151620192122[HARGA JUAL]*Table24232567891011121314151620192122[SISA]</f>
        <v>2520000</v>
      </c>
      <c r="L14" s="144">
        <f>Table24232567891011121314151620192122[HARGA POKOK]*Table24232567891011121314151620192122[STOK]</f>
        <v>2793000</v>
      </c>
      <c r="M14" s="144">
        <f>Table24232567891011121314151620192122[HARGA JUAL]*Table24232567891011121314151620192122[STOK]</f>
        <v>2520000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46</v>
      </c>
      <c r="G15" s="142">
        <v>12</v>
      </c>
      <c r="H15" s="141">
        <f>(Table24232567891011121314151620192122[[#This Row],[STOK]]-Table24232567891011121314151620192122[[#This Row],[TERJUAL]])</f>
        <v>34</v>
      </c>
      <c r="I15" s="143">
        <f>(Table24232567891011121314151620192122[HARGA JUAL]*Table24232567891011121314151620192122[TERJUAL])-(Table24232567891011121314151620192122[HARGA POKOK]*Table24232567891011121314151620192122[TERJUAL])</f>
        <v>126000</v>
      </c>
      <c r="J15" s="143">
        <f>(Table24232567891011121314151620192122[HARGA JUAL]*Table24232567891011121314151620192122[TERJUAL])</f>
        <v>480000</v>
      </c>
      <c r="K15" s="143">
        <f>Table24232567891011121314151620192122[HARGA JUAL]*Table24232567891011121314151620192122[SISA]</f>
        <v>1360000</v>
      </c>
      <c r="L15" s="144">
        <f>Table24232567891011121314151620192122[HARGA POKOK]*Table24232567891011121314151620192122[STOK]</f>
        <v>1357000</v>
      </c>
      <c r="M15" s="144">
        <f>Table24232567891011121314151620192122[HARGA JUAL]*Table24232567891011121314151620192122[STOK]</f>
        <v>1840000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37</v>
      </c>
      <c r="G16" s="142">
        <v>5</v>
      </c>
      <c r="H16" s="141">
        <f>(Table24232567891011121314151620192122[[#This Row],[STOK]]-Table24232567891011121314151620192122[[#This Row],[TERJUAL]])</f>
        <v>32</v>
      </c>
      <c r="I16" s="143">
        <f>(Table24232567891011121314151620192122[HARGA JUAL]*Table24232567891011121314151620192122[TERJUAL])-(Table24232567891011121314151620192122[HARGA POKOK]*Table24232567891011121314151620192122[TERJUAL])</f>
        <v>137500</v>
      </c>
      <c r="J16" s="143">
        <f>(Table24232567891011121314151620192122[HARGA JUAL]*Table24232567891011121314151620192122[TERJUAL])</f>
        <v>500000</v>
      </c>
      <c r="K16" s="143">
        <f>Table24232567891011121314151620192122[HARGA JUAL]*Table24232567891011121314151620192122[SISA]</f>
        <v>3200000</v>
      </c>
      <c r="L16" s="144">
        <f>Table24232567891011121314151620192122[HARGA POKOK]*Table24232567891011121314151620192122[STOK]</f>
        <v>2682500</v>
      </c>
      <c r="M16" s="144">
        <f>Table24232567891011121314151620192122[HARGA JUAL]*Table24232567891011121314151620192122[STOK]</f>
        <v>3700000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48</v>
      </c>
      <c r="G17" s="142">
        <v>1</v>
      </c>
      <c r="H17" s="141">
        <f>(Table24232567891011121314151620192122[[#This Row],[STOK]]-Table24232567891011121314151620192122[[#This Row],[TERJUAL]])</f>
        <v>47</v>
      </c>
      <c r="I17" s="143">
        <f>(Table24232567891011121314151620192122[HARGA JUAL]*Table24232567891011121314151620192122[TERJUAL])-(Table24232567891011121314151620192122[HARGA POKOK]*Table24232567891011121314151620192122[TERJUAL])</f>
        <v>19000</v>
      </c>
      <c r="J17" s="143">
        <f>(Table24232567891011121314151620192122[HARGA JUAL]*Table24232567891011121314151620192122[TERJUAL])</f>
        <v>85000</v>
      </c>
      <c r="K17" s="143">
        <f>Table24232567891011121314151620192122[HARGA JUAL]*Table24232567891011121314151620192122[SISA]</f>
        <v>3995000</v>
      </c>
      <c r="L17" s="144">
        <f>Table24232567891011121314151620192122[HARGA POKOK]*Table24232567891011121314151620192122[STOK]</f>
        <v>3168000</v>
      </c>
      <c r="M17" s="144">
        <f>Table24232567891011121314151620192122[HARGA JUAL]*Table24232567891011121314151620192122[STOK]</f>
        <v>4080000</v>
      </c>
      <c r="N17" s="145" t="s">
        <v>292</v>
      </c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350</v>
      </c>
      <c r="G18" s="142">
        <v>1</v>
      </c>
      <c r="H18" s="141">
        <f>(Table24232567891011121314151620192122[[#This Row],[STOK]]-Table24232567891011121314151620192122[[#This Row],[TERJUAL]])</f>
        <v>349</v>
      </c>
      <c r="I18" s="143">
        <f>(Table24232567891011121314151620192122[HARGA JUAL]*Table24232567891011121314151620192122[TERJUAL])-(Table24232567891011121314151620192122[HARGA POKOK]*Table24232567891011121314151620192122[TERJUAL])</f>
        <v>2500</v>
      </c>
      <c r="J18" s="143">
        <f>(Table24232567891011121314151620192122[HARGA JUAL]*Table24232567891011121314151620192122[TERJUAL])</f>
        <v>25000</v>
      </c>
      <c r="K18" s="143">
        <f>Table24232567891011121314151620192122[HARGA JUAL]*Table24232567891011121314151620192122[SISA]</f>
        <v>8725000</v>
      </c>
      <c r="L18" s="144">
        <f>Table24232567891011121314151620192122[HARGA POKOK]*Table24232567891011121314151620192122[STOK]</f>
        <v>7875000</v>
      </c>
      <c r="M18" s="144">
        <f>Table24232567891011121314151620192122[HARGA JUAL]*Table24232567891011121314151620192122[STOK]</f>
        <v>8750000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8</v>
      </c>
      <c r="G19" s="142">
        <v>1</v>
      </c>
      <c r="H19" s="141">
        <f>(Table24232567891011121314151620192122[[#This Row],[STOK]]-Table24232567891011121314151620192122[[#This Row],[TERJUAL]])</f>
        <v>7</v>
      </c>
      <c r="I19" s="143">
        <f>(Table24232567891011121314151620192122[HARGA JUAL]*Table24232567891011121314151620192122[TERJUAL])-(Table24232567891011121314151620192122[HARGA POKOK]*Table24232567891011121314151620192122[TERJUAL])</f>
        <v>24000</v>
      </c>
      <c r="J19" s="143">
        <f>(Table24232567891011121314151620192122[HARGA JUAL]*Table24232567891011121314151620192122[TERJUAL])</f>
        <v>80000</v>
      </c>
      <c r="K19" s="143">
        <f>Table24232567891011121314151620192122[HARGA JUAL]*Table24232567891011121314151620192122[SISA]</f>
        <v>560000</v>
      </c>
      <c r="L19" s="144">
        <f>Table24232567891011121314151620192122[HARGA POKOK]*Table24232567891011121314151620192122[STOK]</f>
        <v>448000</v>
      </c>
      <c r="M19" s="144">
        <f>Table24232567891011121314151620192122[HARGA JUAL]*Table24232567891011121314151620192122[STOK]</f>
        <v>640000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/>
      <c r="G20" s="142"/>
      <c r="H20" s="141">
        <f>(Table24232567891011121314151620192122[[#This Row],[STOK]]-Table24232567891011121314151620192122[[#This Row],[TERJUAL]])</f>
        <v>0</v>
      </c>
      <c r="I20" s="143">
        <f>(Table24232567891011121314151620192122[HARGA JUAL]*Table24232567891011121314151620192122[TERJUAL])-(Table24232567891011121314151620192122[HARGA POKOK]*Table24232567891011121314151620192122[TERJUAL])</f>
        <v>0</v>
      </c>
      <c r="J20" s="143">
        <f>(Table24232567891011121314151620192122[HARGA JUAL]*Table24232567891011121314151620192122[TERJUAL])</f>
        <v>0</v>
      </c>
      <c r="K20" s="143">
        <f>Table24232567891011121314151620192122[HARGA JUAL]*Table24232567891011121314151620192122[SISA]</f>
        <v>0</v>
      </c>
      <c r="L20" s="144">
        <f>Table24232567891011121314151620192122[HARGA POKOK]*Table24232567891011121314151620192122[STOK]</f>
        <v>0</v>
      </c>
      <c r="M20" s="144">
        <f>Table24232567891011121314151620192122[HARGA JUAL]*Table24232567891011121314151620192122[STOK]</f>
        <v>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65</v>
      </c>
      <c r="G21" s="142">
        <v>3</v>
      </c>
      <c r="H21" s="141">
        <f>(Table24232567891011121314151620192122[[#This Row],[STOK]]-Table24232567891011121314151620192122[[#This Row],[TERJUAL]])</f>
        <v>62</v>
      </c>
      <c r="I21" s="143">
        <f>(Table24232567891011121314151620192122[HARGA JUAL]*Table24232567891011121314151620192122[TERJUAL])-(Table24232567891011121314151620192122[HARGA POKOK]*Table24232567891011121314151620192122[TERJUAL])</f>
        <v>34500</v>
      </c>
      <c r="J21" s="143">
        <f>(Table24232567891011121314151620192122[HARGA JUAL]*Table24232567891011121314151620192122[TERJUAL])</f>
        <v>66000</v>
      </c>
      <c r="K21" s="143">
        <f>Table24232567891011121314151620192122[HARGA JUAL]*Table24232567891011121314151620192122[SISA]</f>
        <v>1364000</v>
      </c>
      <c r="L21" s="144">
        <f>Table24232567891011121314151620192122[HARGA POKOK]*Table24232567891011121314151620192122[STOK]</f>
        <v>682500</v>
      </c>
      <c r="M21" s="144">
        <f>Table24232567891011121314151620192122[HARGA JUAL]*Table24232567891011121314151620192122[STOK]</f>
        <v>1430000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42</v>
      </c>
      <c r="G22" s="142"/>
      <c r="H22" s="141">
        <f>(Table24232567891011121314151620192122[[#This Row],[STOK]]-Table24232567891011121314151620192122[[#This Row],[TERJUAL]])</f>
        <v>42</v>
      </c>
      <c r="I22" s="143">
        <f>(Table24232567891011121314151620192122[HARGA JUAL]*Table24232567891011121314151620192122[TERJUAL])-(Table24232567891011121314151620192122[HARGA POKOK]*Table24232567891011121314151620192122[TERJUAL])</f>
        <v>0</v>
      </c>
      <c r="J22" s="143">
        <f>(Table24232567891011121314151620192122[HARGA JUAL]*Table24232567891011121314151620192122[TERJUAL])</f>
        <v>0</v>
      </c>
      <c r="K22" s="143">
        <f>Table24232567891011121314151620192122[HARGA JUAL]*Table24232567891011121314151620192122[SISA]</f>
        <v>3360000</v>
      </c>
      <c r="L22" s="144">
        <f>Table24232567891011121314151620192122[HARGA POKOK]*Table24232567891011121314151620192122[STOK]</f>
        <v>2520000</v>
      </c>
      <c r="M22" s="144">
        <f>Table24232567891011121314151620192122[HARGA JUAL]*Table24232567891011121314151620192122[STOK]</f>
        <v>3360000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59</v>
      </c>
      <c r="G23" s="142">
        <v>4</v>
      </c>
      <c r="H23" s="141">
        <f>(Table24232567891011121314151620192122[[#This Row],[STOK]]-Table24232567891011121314151620192122[[#This Row],[TERJUAL]])</f>
        <v>55</v>
      </c>
      <c r="I23" s="143">
        <f>(Table24232567891011121314151620192122[HARGA JUAL]*Table24232567891011121314151620192122[TERJUAL])-(Table24232567891011121314151620192122[HARGA POKOK]*Table24232567891011121314151620192122[TERJUAL])</f>
        <v>42000</v>
      </c>
      <c r="J23" s="143">
        <f>(Table24232567891011121314151620192122[HARGA JUAL]*Table24232567891011121314151620192122[TERJUAL])</f>
        <v>100000</v>
      </c>
      <c r="K23" s="143">
        <f>Table24232567891011121314151620192122[HARGA JUAL]*Table24232567891011121314151620192122[SISA]</f>
        <v>1375000</v>
      </c>
      <c r="L23" s="144">
        <f>Table24232567891011121314151620192122[HARGA POKOK]*Table24232567891011121314151620192122[STOK]</f>
        <v>855500</v>
      </c>
      <c r="M23" s="144">
        <f>Table24232567891011121314151620192122[HARGA JUAL]*Table24232567891011121314151620192122[STOK]</f>
        <v>1475000</v>
      </c>
      <c r="N23" s="145"/>
    </row>
    <row r="24" spans="1:14" x14ac:dyDescent="0.25">
      <c r="A24" s="283">
        <v>20</v>
      </c>
      <c r="B24" s="284" t="s">
        <v>28</v>
      </c>
      <c r="C24" s="284" t="s">
        <v>52</v>
      </c>
      <c r="D24" s="285">
        <v>30000</v>
      </c>
      <c r="E24" s="285">
        <v>15000</v>
      </c>
      <c r="F24" s="286">
        <v>42</v>
      </c>
      <c r="G24" s="287">
        <v>10</v>
      </c>
      <c r="H24" s="286">
        <f>(Table24232567891011121314151620192122[[#This Row],[STOK]]-Table24232567891011121314151620192122[[#This Row],[TERJUAL]])</f>
        <v>32</v>
      </c>
      <c r="I24" s="288">
        <f>(Table24232567891011121314151620192122[HARGA JUAL]*Table24232567891011121314151620192122[TERJUAL])-(Table24232567891011121314151620192122[HARGA POKOK]*Table24232567891011121314151620192122[TERJUAL])</f>
        <v>-150000</v>
      </c>
      <c r="J24" s="288">
        <f>(Table24232567891011121314151620192122[HARGA JUAL]*Table24232567891011121314151620192122[TERJUAL])</f>
        <v>150000</v>
      </c>
      <c r="K24" s="288">
        <f>Table24232567891011121314151620192122[HARGA JUAL]*Table24232567891011121314151620192122[SISA]</f>
        <v>480000</v>
      </c>
      <c r="L24" s="289">
        <f>Table24232567891011121314151620192122[HARGA POKOK]*Table24232567891011121314151620192122[STOK]</f>
        <v>1260000</v>
      </c>
      <c r="M24" s="289">
        <f>Table24232567891011121314151620192122[HARGA JUAL]*Table24232567891011121314151620192122[STOK]</f>
        <v>630000</v>
      </c>
      <c r="N24" s="290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4500</v>
      </c>
      <c r="E25" s="140">
        <v>10000</v>
      </c>
      <c r="F25" s="141">
        <v>8</v>
      </c>
      <c r="G25" s="142">
        <v>1</v>
      </c>
      <c r="H25" s="141">
        <f>(Table24232567891011121314151620192122[[#This Row],[STOK]]-Table24232567891011121314151620192122[[#This Row],[TERJUAL]])</f>
        <v>7</v>
      </c>
      <c r="I25" s="143">
        <f>(Table24232567891011121314151620192122[HARGA JUAL]*Table24232567891011121314151620192122[TERJUAL])-(Table24232567891011121314151620192122[HARGA POKOK]*Table24232567891011121314151620192122[TERJUAL])</f>
        <v>5500</v>
      </c>
      <c r="J25" s="143">
        <f>(Table24232567891011121314151620192122[HARGA JUAL]*Table24232567891011121314151620192122[TERJUAL])</f>
        <v>10000</v>
      </c>
      <c r="K25" s="143">
        <f>Table24232567891011121314151620192122[HARGA JUAL]*Table24232567891011121314151620192122[SISA]</f>
        <v>70000</v>
      </c>
      <c r="L25" s="144">
        <f>Table24232567891011121314151620192122[HARGA POKOK]*Table24232567891011121314151620192122[STOK]</f>
        <v>36000</v>
      </c>
      <c r="M25" s="144">
        <f>Table24232567891011121314151620192122[HARGA JUAL]*Table24232567891011121314151620192122[STOK]</f>
        <v>80000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74</v>
      </c>
      <c r="G26" s="142">
        <v>5</v>
      </c>
      <c r="H26" s="141">
        <f>(Table24232567891011121314151620192122[[#This Row],[STOK]]-Table24232567891011121314151620192122[[#This Row],[TERJUAL]])</f>
        <v>69</v>
      </c>
      <c r="I26" s="143">
        <f>(Table24232567891011121314151620192122[HARGA JUAL]*Table24232567891011121314151620192122[TERJUAL])-(Table24232567891011121314151620192122[HARGA POKOK]*Table24232567891011121314151620192122[TERJUAL])</f>
        <v>62500</v>
      </c>
      <c r="J26" s="143">
        <f>(Table24232567891011121314151620192122[HARGA JUAL]*Table24232567891011121314151620192122[TERJUAL])</f>
        <v>300000</v>
      </c>
      <c r="K26" s="143">
        <f>Table24232567891011121314151620192122[HARGA JUAL]*Table24232567891011121314151620192122[SISA]</f>
        <v>4140000</v>
      </c>
      <c r="L26" s="144">
        <f>Table24232567891011121314151620192122[HARGA POKOK]*Table24232567891011121314151620192122[STOK]</f>
        <v>3515000</v>
      </c>
      <c r="M26" s="144">
        <f>Table24232567891011121314151620192122[HARGA JUAL]*Table24232567891011121314151620192122[STOK]</f>
        <v>4440000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/>
      <c r="G27" s="142"/>
      <c r="H27" s="141">
        <f>(Table24232567891011121314151620192122[[#This Row],[STOK]]-Table24232567891011121314151620192122[[#This Row],[TERJUAL]])</f>
        <v>0</v>
      </c>
      <c r="I27" s="143">
        <f>(Table24232567891011121314151620192122[HARGA JUAL]*Table24232567891011121314151620192122[TERJUAL])-(Table24232567891011121314151620192122[HARGA POKOK]*Table24232567891011121314151620192122[TERJUAL])</f>
        <v>0</v>
      </c>
      <c r="J27" s="143">
        <f>(Table24232567891011121314151620192122[HARGA JUAL]*Table24232567891011121314151620192122[TERJUAL])</f>
        <v>0</v>
      </c>
      <c r="K27" s="143">
        <f>Table24232567891011121314151620192122[HARGA JUAL]*Table24232567891011121314151620192122[SISA]</f>
        <v>0</v>
      </c>
      <c r="L27" s="144">
        <f>Table24232567891011121314151620192122[HARGA POKOK]*Table24232567891011121314151620192122[STOK]</f>
        <v>0</v>
      </c>
      <c r="M27" s="144">
        <f>Table24232567891011121314151620192122[HARGA JUAL]*Table24232567891011121314151620192122[STOK]</f>
        <v>0</v>
      </c>
      <c r="N27" s="145"/>
    </row>
    <row r="28" spans="1:14" x14ac:dyDescent="0.25">
      <c r="A28" s="137">
        <v>24</v>
      </c>
      <c r="B28" s="138" t="s">
        <v>29</v>
      </c>
      <c r="C28" s="138" t="s">
        <v>293</v>
      </c>
      <c r="D28" s="140">
        <v>68500</v>
      </c>
      <c r="E28" s="140">
        <v>120000</v>
      </c>
      <c r="F28" s="141">
        <v>13</v>
      </c>
      <c r="G28" s="142"/>
      <c r="H28" s="141">
        <f>(Table24232567891011121314151620192122[[#This Row],[STOK]]-Table24232567891011121314151620192122[[#This Row],[TERJUAL]])</f>
        <v>13</v>
      </c>
      <c r="I28" s="143">
        <f>(Table24232567891011121314151620192122[HARGA JUAL]*Table24232567891011121314151620192122[TERJUAL])-(Table24232567891011121314151620192122[HARGA POKOK]*Table24232567891011121314151620192122[TERJUAL])</f>
        <v>0</v>
      </c>
      <c r="J28" s="143">
        <f>(Table24232567891011121314151620192122[HARGA JUAL]*Table24232567891011121314151620192122[TERJUAL])</f>
        <v>0</v>
      </c>
      <c r="K28" s="143">
        <f>Table24232567891011121314151620192122[HARGA JUAL]*Table24232567891011121314151620192122[SISA]</f>
        <v>1560000</v>
      </c>
      <c r="L28" s="144">
        <f>Table24232567891011121314151620192122[HARGA POKOK]*Table24232567891011121314151620192122[STOK]</f>
        <v>890500</v>
      </c>
      <c r="M28" s="144">
        <f>Table24232567891011121314151620192122[HARGA JUAL]*Table24232567891011121314151620192122[STOK]</f>
        <v>1560000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0</v>
      </c>
      <c r="G29" s="142"/>
      <c r="H29" s="141">
        <f>(Table24232567891011121314151620192122[[#This Row],[STOK]]-Table24232567891011121314151620192122[[#This Row],[TERJUAL]])</f>
        <v>0</v>
      </c>
      <c r="I29" s="143">
        <f>(Table24232567891011121314151620192122[HARGA JUAL]*Table24232567891011121314151620192122[TERJUAL])-(Table24232567891011121314151620192122[HARGA POKOK]*Table24232567891011121314151620192122[TERJUAL])</f>
        <v>0</v>
      </c>
      <c r="J29" s="143">
        <f>(Table24232567891011121314151620192122[HARGA JUAL]*Table24232567891011121314151620192122[TERJUAL])</f>
        <v>0</v>
      </c>
      <c r="K29" s="143">
        <f>Table24232567891011121314151620192122[HARGA JUAL]*Table24232567891011121314151620192122[SISA]</f>
        <v>0</v>
      </c>
      <c r="L29" s="144">
        <f>Table24232567891011121314151620192122[HARGA POKOK]*Table24232567891011121314151620192122[STOK]</f>
        <v>0</v>
      </c>
      <c r="M29" s="144">
        <f>Table24232567891011121314151620192122[HARGA JUAL]*Table24232567891011121314151620192122[STOK]</f>
        <v>0</v>
      </c>
      <c r="N29" s="145"/>
    </row>
    <row r="30" spans="1:14" x14ac:dyDescent="0.25">
      <c r="A30" s="137"/>
      <c r="B30" s="138" t="s">
        <v>30</v>
      </c>
      <c r="C30" s="138" t="s">
        <v>315</v>
      </c>
      <c r="D30" s="140">
        <v>35000</v>
      </c>
      <c r="E30" s="140">
        <v>55000</v>
      </c>
      <c r="F30" s="141">
        <v>32</v>
      </c>
      <c r="G30" s="142"/>
      <c r="H30" s="141">
        <f>(Table24232567891011121314151620192122[[#This Row],[STOK]]-Table24232567891011121314151620192122[[#This Row],[TERJUAL]])</f>
        <v>32</v>
      </c>
      <c r="I30" s="143">
        <f>(Table24232567891011121314151620192122[HARGA JUAL]*Table24232567891011121314151620192122[TERJUAL])-(Table24232567891011121314151620192122[HARGA POKOK]*Table24232567891011121314151620192122[TERJUAL])</f>
        <v>0</v>
      </c>
      <c r="J30" s="143">
        <f>(Table24232567891011121314151620192122[HARGA JUAL]*Table24232567891011121314151620192122[TERJUAL])</f>
        <v>0</v>
      </c>
      <c r="K30" s="143">
        <f>Table24232567891011121314151620192122[HARGA JUAL]*Table24232567891011121314151620192122[SISA]</f>
        <v>1760000</v>
      </c>
      <c r="L30" s="144">
        <f>Table24232567891011121314151620192122[HARGA POKOK]*Table24232567891011121314151620192122[STOK]</f>
        <v>1120000</v>
      </c>
      <c r="M30" s="144">
        <f>Table24232567891011121314151620192122[HARGA JUAL]*Table24232567891011121314151620192122[STOK]</f>
        <v>1760000</v>
      </c>
      <c r="N30" s="145"/>
    </row>
    <row r="31" spans="1:14" x14ac:dyDescent="0.25">
      <c r="A31" s="137"/>
      <c r="B31" s="138" t="s">
        <v>30</v>
      </c>
      <c r="C31" s="138" t="s">
        <v>294</v>
      </c>
      <c r="D31" s="140">
        <v>15000</v>
      </c>
      <c r="E31" s="140">
        <v>30000</v>
      </c>
      <c r="F31" s="141">
        <v>2</v>
      </c>
      <c r="G31" s="142"/>
      <c r="H31" s="141">
        <f>(Table24232567891011121314151620192122[[#This Row],[STOK]]-Table24232567891011121314151620192122[[#This Row],[TERJUAL]])</f>
        <v>2</v>
      </c>
      <c r="I31" s="143">
        <f>(Table24232567891011121314151620192122[HARGA JUAL]*Table24232567891011121314151620192122[TERJUAL])-(Table24232567891011121314151620192122[HARGA POKOK]*Table24232567891011121314151620192122[TERJUAL])</f>
        <v>0</v>
      </c>
      <c r="J31" s="143">
        <f>(Table24232567891011121314151620192122[HARGA JUAL]*Table24232567891011121314151620192122[TERJUAL])</f>
        <v>0</v>
      </c>
      <c r="K31" s="143">
        <f>Table24232567891011121314151620192122[HARGA JUAL]*Table24232567891011121314151620192122[SISA]</f>
        <v>60000</v>
      </c>
      <c r="L31" s="144">
        <f>Table24232567891011121314151620192122[HARGA POKOK]*Table24232567891011121314151620192122[STOK]</f>
        <v>30000</v>
      </c>
      <c r="M31" s="144">
        <f>Table24232567891011121314151620192122[HARGA JUAL]*Table24232567891011121314151620192122[STOK]</f>
        <v>60000</v>
      </c>
      <c r="N31" s="145"/>
    </row>
    <row r="32" spans="1:14" x14ac:dyDescent="0.25">
      <c r="A32" s="137">
        <v>26</v>
      </c>
      <c r="B32" s="138" t="s">
        <v>30</v>
      </c>
      <c r="C32" s="138" t="s">
        <v>58</v>
      </c>
      <c r="D32" s="140">
        <v>10000</v>
      </c>
      <c r="E32" s="140">
        <v>18000</v>
      </c>
      <c r="F32" s="141">
        <v>2</v>
      </c>
      <c r="G32" s="142"/>
      <c r="H32" s="141">
        <f>(Table24232567891011121314151620192122[[#This Row],[STOK]]-Table24232567891011121314151620192122[[#This Row],[TERJUAL]])</f>
        <v>2</v>
      </c>
      <c r="I32" s="143">
        <f>(Table24232567891011121314151620192122[HARGA JUAL]*Table24232567891011121314151620192122[TERJUAL])-(Table24232567891011121314151620192122[HARGA POKOK]*Table24232567891011121314151620192122[TERJUAL])</f>
        <v>0</v>
      </c>
      <c r="J32" s="143">
        <f>(Table24232567891011121314151620192122[HARGA JUAL]*Table24232567891011121314151620192122[TERJUAL])</f>
        <v>0</v>
      </c>
      <c r="K32" s="143">
        <f>Table24232567891011121314151620192122[HARGA JUAL]*Table24232567891011121314151620192122[SISA]</f>
        <v>36000</v>
      </c>
      <c r="L32" s="144">
        <f>Table24232567891011121314151620192122[HARGA POKOK]*Table24232567891011121314151620192122[STOK]</f>
        <v>20000</v>
      </c>
      <c r="M32" s="144">
        <f>Table24232567891011121314151620192122[HARGA JUAL]*Table24232567891011121314151620192122[STOK]</f>
        <v>36000</v>
      </c>
      <c r="N32" s="145"/>
    </row>
    <row r="33" spans="1:14" x14ac:dyDescent="0.25">
      <c r="A33" s="137">
        <v>27</v>
      </c>
      <c r="B33" s="138" t="s">
        <v>30</v>
      </c>
      <c r="C33" s="138" t="s">
        <v>59</v>
      </c>
      <c r="D33" s="140">
        <v>27500</v>
      </c>
      <c r="E33" s="140">
        <v>45000</v>
      </c>
      <c r="F33" s="141">
        <v>10</v>
      </c>
      <c r="G33" s="142">
        <v>2</v>
      </c>
      <c r="H33" s="141">
        <f>(Table24232567891011121314151620192122[[#This Row],[STOK]]-Table24232567891011121314151620192122[[#This Row],[TERJUAL]])</f>
        <v>8</v>
      </c>
      <c r="I33" s="143">
        <f>(Table24232567891011121314151620192122[HARGA JUAL]*Table24232567891011121314151620192122[TERJUAL])-(Table24232567891011121314151620192122[HARGA POKOK]*Table24232567891011121314151620192122[TERJUAL])</f>
        <v>35000</v>
      </c>
      <c r="J33" s="143">
        <f>(Table24232567891011121314151620192122[HARGA JUAL]*Table24232567891011121314151620192122[TERJUAL])</f>
        <v>90000</v>
      </c>
      <c r="K33" s="143">
        <f>Table24232567891011121314151620192122[HARGA JUAL]*Table24232567891011121314151620192122[SISA]</f>
        <v>360000</v>
      </c>
      <c r="L33" s="144">
        <f>Table24232567891011121314151620192122[HARGA POKOK]*Table24232567891011121314151620192122[STOK]</f>
        <v>275000</v>
      </c>
      <c r="M33" s="144">
        <f>Table24232567891011121314151620192122[HARGA JUAL]*Table24232567891011121314151620192122[STOK]</f>
        <v>450000</v>
      </c>
      <c r="N33" s="145"/>
    </row>
    <row r="34" spans="1:14" x14ac:dyDescent="0.25">
      <c r="A34" s="137">
        <v>28</v>
      </c>
      <c r="B34" s="138" t="s">
        <v>30</v>
      </c>
      <c r="C34" s="138" t="s">
        <v>60</v>
      </c>
      <c r="D34" s="140">
        <v>12500</v>
      </c>
      <c r="E34" s="140">
        <v>16000</v>
      </c>
      <c r="F34" s="141">
        <v>112</v>
      </c>
      <c r="G34" s="142"/>
      <c r="H34" s="141">
        <f>(Table24232567891011121314151620192122[[#This Row],[STOK]]-Table24232567891011121314151620192122[[#This Row],[TERJUAL]])</f>
        <v>112</v>
      </c>
      <c r="I34" s="143">
        <f>(Table24232567891011121314151620192122[HARGA JUAL]*Table24232567891011121314151620192122[TERJUAL])-(Table24232567891011121314151620192122[HARGA POKOK]*Table24232567891011121314151620192122[TERJUAL])</f>
        <v>0</v>
      </c>
      <c r="J34" s="143">
        <f>(Table24232567891011121314151620192122[HARGA JUAL]*Table24232567891011121314151620192122[TERJUAL])</f>
        <v>0</v>
      </c>
      <c r="K34" s="143">
        <f>Table24232567891011121314151620192122[HARGA JUAL]*Table24232567891011121314151620192122[SISA]</f>
        <v>1792000</v>
      </c>
      <c r="L34" s="144">
        <f>Table24232567891011121314151620192122[HARGA POKOK]*Table24232567891011121314151620192122[STOK]</f>
        <v>1400000</v>
      </c>
      <c r="M34" s="144">
        <f>Table24232567891011121314151620192122[HARGA JUAL]*Table24232567891011121314151620192122[STOK]</f>
        <v>1792000</v>
      </c>
      <c r="N34" s="145"/>
    </row>
    <row r="35" spans="1:14" x14ac:dyDescent="0.25">
      <c r="A35" s="137">
        <v>29</v>
      </c>
      <c r="B35" s="138" t="s">
        <v>30</v>
      </c>
      <c r="C35" s="138" t="s">
        <v>13</v>
      </c>
      <c r="D35" s="140">
        <v>33500</v>
      </c>
      <c r="E35" s="140">
        <v>50000</v>
      </c>
      <c r="F35" s="141">
        <v>48</v>
      </c>
      <c r="G35" s="142"/>
      <c r="H35" s="141">
        <f>(Table24232567891011121314151620192122[[#This Row],[STOK]]-Table24232567891011121314151620192122[[#This Row],[TERJUAL]])</f>
        <v>48</v>
      </c>
      <c r="I35" s="143">
        <f>(Table24232567891011121314151620192122[HARGA JUAL]*Table24232567891011121314151620192122[TERJUAL])-(Table24232567891011121314151620192122[HARGA POKOK]*Table24232567891011121314151620192122[TERJUAL])</f>
        <v>0</v>
      </c>
      <c r="J35" s="143">
        <f>(Table24232567891011121314151620192122[HARGA JUAL]*Table24232567891011121314151620192122[TERJUAL])</f>
        <v>0</v>
      </c>
      <c r="K35" s="143">
        <f>Table24232567891011121314151620192122[HARGA JUAL]*Table24232567891011121314151620192122[SISA]</f>
        <v>2400000</v>
      </c>
      <c r="L35" s="144">
        <f>Table24232567891011121314151620192122[HARGA POKOK]*Table24232567891011121314151620192122[STOK]</f>
        <v>1608000</v>
      </c>
      <c r="M35" s="144">
        <f>Table24232567891011121314151620192122[HARGA JUAL]*Table24232567891011121314151620192122[STOK]</f>
        <v>2400000</v>
      </c>
      <c r="N35" s="145"/>
    </row>
    <row r="36" spans="1:14" x14ac:dyDescent="0.25">
      <c r="A36" s="137">
        <v>30</v>
      </c>
      <c r="B36" s="138" t="s">
        <v>30</v>
      </c>
      <c r="C36" s="193" t="s">
        <v>14</v>
      </c>
      <c r="D36" s="140">
        <v>8500</v>
      </c>
      <c r="E36" s="140">
        <v>12000</v>
      </c>
      <c r="F36" s="141">
        <v>70</v>
      </c>
      <c r="G36" s="142">
        <v>33</v>
      </c>
      <c r="H36" s="141">
        <f>(Table24232567891011121314151620192122[[#This Row],[STOK]]-Table24232567891011121314151620192122[[#This Row],[TERJUAL]])</f>
        <v>37</v>
      </c>
      <c r="I36" s="143">
        <f>(Table24232567891011121314151620192122[HARGA JUAL]*Table24232567891011121314151620192122[TERJUAL])-(Table24232567891011121314151620192122[HARGA POKOK]*Table24232567891011121314151620192122[TERJUAL])</f>
        <v>115500</v>
      </c>
      <c r="J36" s="143">
        <f>(Table24232567891011121314151620192122[HARGA JUAL]*Table24232567891011121314151620192122[TERJUAL])</f>
        <v>396000</v>
      </c>
      <c r="K36" s="143">
        <f>Table24232567891011121314151620192122[HARGA JUAL]*Table24232567891011121314151620192122[SISA]</f>
        <v>444000</v>
      </c>
      <c r="L36" s="144">
        <f>Table24232567891011121314151620192122[HARGA POKOK]*Table24232567891011121314151620192122[STOK]</f>
        <v>595000</v>
      </c>
      <c r="M36" s="144">
        <f>Table24232567891011121314151620192122[HARGA JUAL]*Table24232567891011121314151620192122[STOK]</f>
        <v>840000</v>
      </c>
      <c r="N36" s="145"/>
    </row>
    <row r="37" spans="1:14" x14ac:dyDescent="0.25">
      <c r="A37" s="137">
        <v>31</v>
      </c>
      <c r="B37" s="138" t="s">
        <v>30</v>
      </c>
      <c r="C37" s="138" t="s">
        <v>15</v>
      </c>
      <c r="D37" s="140">
        <v>30500</v>
      </c>
      <c r="E37" s="140">
        <v>45000</v>
      </c>
      <c r="F37" s="141">
        <v>48</v>
      </c>
      <c r="G37" s="142">
        <v>2</v>
      </c>
      <c r="H37" s="141">
        <f>(Table24232567891011121314151620192122[[#This Row],[STOK]]-Table24232567891011121314151620192122[[#This Row],[TERJUAL]])</f>
        <v>46</v>
      </c>
      <c r="I37" s="143">
        <f>(Table24232567891011121314151620192122[HARGA JUAL]*Table24232567891011121314151620192122[TERJUAL])-(Table24232567891011121314151620192122[HARGA POKOK]*Table24232567891011121314151620192122[TERJUAL])</f>
        <v>29000</v>
      </c>
      <c r="J37" s="143">
        <f>(Table24232567891011121314151620192122[HARGA JUAL]*Table24232567891011121314151620192122[TERJUAL])</f>
        <v>90000</v>
      </c>
      <c r="K37" s="143">
        <f>Table24232567891011121314151620192122[HARGA JUAL]*Table24232567891011121314151620192122[SISA]</f>
        <v>2070000</v>
      </c>
      <c r="L37" s="144">
        <f>Table24232567891011121314151620192122[HARGA POKOK]*Table24232567891011121314151620192122[STOK]</f>
        <v>1464000</v>
      </c>
      <c r="M37" s="144">
        <f>Table24232567891011121314151620192122[HARGA JUAL]*Table24232567891011121314151620192122[STOK]</f>
        <v>2160000</v>
      </c>
      <c r="N37" s="145"/>
    </row>
    <row r="38" spans="1:14" x14ac:dyDescent="0.25">
      <c r="A38" s="137">
        <v>32</v>
      </c>
      <c r="B38" s="138" t="s">
        <v>30</v>
      </c>
      <c r="C38" s="138" t="s">
        <v>16</v>
      </c>
      <c r="D38" s="140">
        <v>7500</v>
      </c>
      <c r="E38" s="140">
        <v>10000</v>
      </c>
      <c r="F38" s="141">
        <v>47</v>
      </c>
      <c r="G38" s="142">
        <v>37</v>
      </c>
      <c r="H38" s="141">
        <f>(Table24232567891011121314151620192122[[#This Row],[STOK]]-Table24232567891011121314151620192122[[#This Row],[TERJUAL]])</f>
        <v>10</v>
      </c>
      <c r="I38" s="143">
        <f>(Table24232567891011121314151620192122[HARGA JUAL]*Table24232567891011121314151620192122[TERJUAL])-(Table24232567891011121314151620192122[HARGA POKOK]*Table24232567891011121314151620192122[TERJUAL])</f>
        <v>92500</v>
      </c>
      <c r="J38" s="143">
        <f>(Table24232567891011121314151620192122[HARGA JUAL]*Table24232567891011121314151620192122[TERJUAL])</f>
        <v>370000</v>
      </c>
      <c r="K38" s="143">
        <f>Table24232567891011121314151620192122[HARGA JUAL]*Table24232567891011121314151620192122[SISA]</f>
        <v>100000</v>
      </c>
      <c r="L38" s="144">
        <f>Table24232567891011121314151620192122[HARGA POKOK]*Table24232567891011121314151620192122[STOK]</f>
        <v>352500</v>
      </c>
      <c r="M38" s="144">
        <f>Table24232567891011121314151620192122[HARGA JUAL]*Table24232567891011121314151620192122[STOK]</f>
        <v>470000</v>
      </c>
      <c r="N38" s="145"/>
    </row>
    <row r="39" spans="1:14" x14ac:dyDescent="0.25">
      <c r="A39" s="137">
        <v>33</v>
      </c>
      <c r="B39" s="138" t="s">
        <v>35</v>
      </c>
      <c r="C39" s="138" t="s">
        <v>36</v>
      </c>
      <c r="D39" s="140">
        <v>51500</v>
      </c>
      <c r="E39" s="140">
        <v>65000</v>
      </c>
      <c r="F39" s="141">
        <v>5</v>
      </c>
      <c r="G39" s="142">
        <v>2</v>
      </c>
      <c r="H39" s="141">
        <f>(Table24232567891011121314151620192122[[#This Row],[STOK]]-Table24232567891011121314151620192122[[#This Row],[TERJUAL]])</f>
        <v>3</v>
      </c>
      <c r="I39" s="143">
        <f>(Table24232567891011121314151620192122[HARGA JUAL]*Table24232567891011121314151620192122[TERJUAL])-(Table24232567891011121314151620192122[HARGA POKOK]*Table24232567891011121314151620192122[TERJUAL])</f>
        <v>27000</v>
      </c>
      <c r="J39" s="143">
        <f>(Table24232567891011121314151620192122[HARGA JUAL]*Table24232567891011121314151620192122[TERJUAL])</f>
        <v>130000</v>
      </c>
      <c r="K39" s="143">
        <f>Table24232567891011121314151620192122[HARGA JUAL]*Table24232567891011121314151620192122[SISA]</f>
        <v>195000</v>
      </c>
      <c r="L39" s="144">
        <f>Table24232567891011121314151620192122[HARGA POKOK]*Table24232567891011121314151620192122[STOK]</f>
        <v>257500</v>
      </c>
      <c r="M39" s="144">
        <f>Table24232567891011121314151620192122[HARGA JUAL]*Table24232567891011121314151620192122[STOK]</f>
        <v>325000</v>
      </c>
      <c r="N39" s="145"/>
    </row>
    <row r="40" spans="1:14" x14ac:dyDescent="0.25">
      <c r="A40" s="137">
        <v>34</v>
      </c>
      <c r="B40" s="138" t="s">
        <v>35</v>
      </c>
      <c r="C40" s="138" t="s">
        <v>175</v>
      </c>
      <c r="D40" s="140">
        <v>27500</v>
      </c>
      <c r="E40" s="140">
        <v>40000</v>
      </c>
      <c r="F40" s="141">
        <v>63</v>
      </c>
      <c r="G40" s="142">
        <v>1</v>
      </c>
      <c r="H40" s="141">
        <f>(Table24232567891011121314151620192122[[#This Row],[STOK]]-Table24232567891011121314151620192122[[#This Row],[TERJUAL]])</f>
        <v>62</v>
      </c>
      <c r="I40" s="143">
        <f>(Table24232567891011121314151620192122[HARGA JUAL]*Table24232567891011121314151620192122[TERJUAL])-(Table24232567891011121314151620192122[HARGA POKOK]*Table24232567891011121314151620192122[TERJUAL])</f>
        <v>12500</v>
      </c>
      <c r="J40" s="143">
        <f>(Table24232567891011121314151620192122[HARGA JUAL]*Table24232567891011121314151620192122[TERJUAL])</f>
        <v>40000</v>
      </c>
      <c r="K40" s="143">
        <f>Table24232567891011121314151620192122[HARGA JUAL]*Table24232567891011121314151620192122[SISA]</f>
        <v>2480000</v>
      </c>
      <c r="L40" s="144">
        <f>Table24232567891011121314151620192122[HARGA POKOK]*Table24232567891011121314151620192122[STOK]</f>
        <v>1732500</v>
      </c>
      <c r="M40" s="144">
        <f>Table24232567891011121314151620192122[HARGA JUAL]*Table24232567891011121314151620192122[STOK]</f>
        <v>2520000</v>
      </c>
      <c r="N40" s="145"/>
    </row>
    <row r="41" spans="1:14" x14ac:dyDescent="0.25">
      <c r="A41" s="137">
        <v>35</v>
      </c>
      <c r="B41" s="138" t="s">
        <v>31</v>
      </c>
      <c r="C41" s="138" t="s">
        <v>180</v>
      </c>
      <c r="D41" s="140">
        <v>21500</v>
      </c>
      <c r="E41" s="140">
        <v>40000</v>
      </c>
      <c r="F41" s="141">
        <v>42</v>
      </c>
      <c r="G41" s="142">
        <v>7</v>
      </c>
      <c r="H41" s="141">
        <f>(Table24232567891011121314151620192122[[#This Row],[STOK]]-Table24232567891011121314151620192122[[#This Row],[TERJUAL]])</f>
        <v>35</v>
      </c>
      <c r="I41" s="143">
        <f>(Table24232567891011121314151620192122[HARGA JUAL]*Table24232567891011121314151620192122[TERJUAL])-(Table24232567891011121314151620192122[HARGA POKOK]*Table24232567891011121314151620192122[TERJUAL])</f>
        <v>129500</v>
      </c>
      <c r="J41" s="143">
        <f>(Table24232567891011121314151620192122[HARGA JUAL]*Table24232567891011121314151620192122[TERJUAL])</f>
        <v>280000</v>
      </c>
      <c r="K41" s="143">
        <f>Table24232567891011121314151620192122[HARGA JUAL]*Table24232567891011121314151620192122[SISA]</f>
        <v>1400000</v>
      </c>
      <c r="L41" s="144">
        <f>Table24232567891011121314151620192122[HARGA POKOK]*Table24232567891011121314151620192122[STOK]</f>
        <v>903000</v>
      </c>
      <c r="M41" s="144">
        <f>Table24232567891011121314151620192122[HARGA JUAL]*Table24232567891011121314151620192122[STOK]</f>
        <v>1680000</v>
      </c>
      <c r="N41" s="145"/>
    </row>
    <row r="42" spans="1:14" x14ac:dyDescent="0.25">
      <c r="A42" s="137">
        <v>36</v>
      </c>
      <c r="B42" s="138" t="s">
        <v>31</v>
      </c>
      <c r="C42" s="138" t="s">
        <v>62</v>
      </c>
      <c r="D42" s="140">
        <v>25000</v>
      </c>
      <c r="E42" s="140">
        <v>15000</v>
      </c>
      <c r="F42" s="141"/>
      <c r="G42" s="142"/>
      <c r="H42" s="141">
        <f>(Table24232567891011121314151620192122[[#This Row],[STOK]]-Table24232567891011121314151620192122[[#This Row],[TERJUAL]])</f>
        <v>0</v>
      </c>
      <c r="I42" s="143">
        <f>(Table24232567891011121314151620192122[HARGA JUAL]*Table24232567891011121314151620192122[TERJUAL])-(Table24232567891011121314151620192122[HARGA POKOK]*Table24232567891011121314151620192122[TERJUAL])</f>
        <v>0</v>
      </c>
      <c r="J42" s="143">
        <f>(Table24232567891011121314151620192122[HARGA JUAL]*Table24232567891011121314151620192122[TERJUAL])</f>
        <v>0</v>
      </c>
      <c r="K42" s="143">
        <f>Table24232567891011121314151620192122[HARGA JUAL]*Table24232567891011121314151620192122[SISA]</f>
        <v>0</v>
      </c>
      <c r="L42" s="144">
        <f>Table24232567891011121314151620192122[HARGA POKOK]*Table24232567891011121314151620192122[STOK]</f>
        <v>0</v>
      </c>
      <c r="M42" s="144">
        <f>Table24232567891011121314151620192122[HARGA JUAL]*Table24232567891011121314151620192122[STOK]</f>
        <v>0</v>
      </c>
      <c r="N42" s="145"/>
    </row>
    <row r="43" spans="1:14" x14ac:dyDescent="0.25">
      <c r="A43" s="137">
        <v>37</v>
      </c>
      <c r="B43" s="138" t="s">
        <v>31</v>
      </c>
      <c r="C43" s="138" t="s">
        <v>181</v>
      </c>
      <c r="D43" s="140">
        <v>34500</v>
      </c>
      <c r="E43" s="140">
        <v>40000</v>
      </c>
      <c r="F43" s="141">
        <v>102</v>
      </c>
      <c r="G43" s="142"/>
      <c r="H43" s="141">
        <f>(Table24232567891011121314151620192122[[#This Row],[STOK]]-Table24232567891011121314151620192122[[#This Row],[TERJUAL]])</f>
        <v>102</v>
      </c>
      <c r="I43" s="143">
        <f>(Table24232567891011121314151620192122[HARGA JUAL]*Table24232567891011121314151620192122[TERJUAL])-(Table24232567891011121314151620192122[HARGA POKOK]*Table24232567891011121314151620192122[TERJUAL])</f>
        <v>0</v>
      </c>
      <c r="J43" s="143">
        <f>(Table24232567891011121314151620192122[HARGA JUAL]*Table24232567891011121314151620192122[TERJUAL])</f>
        <v>0</v>
      </c>
      <c r="K43" s="143">
        <f>Table24232567891011121314151620192122[HARGA JUAL]*Table24232567891011121314151620192122[SISA]</f>
        <v>4080000</v>
      </c>
      <c r="L43" s="144">
        <f>Table24232567891011121314151620192122[HARGA POKOK]*Table24232567891011121314151620192122[STOK]</f>
        <v>3519000</v>
      </c>
      <c r="M43" s="144">
        <f>Table24232567891011121314151620192122[HARGA JUAL]*Table24232567891011121314151620192122[STOK]</f>
        <v>4080000</v>
      </c>
      <c r="N43" s="145"/>
    </row>
    <row r="44" spans="1:14" x14ac:dyDescent="0.25">
      <c r="A44" s="137">
        <v>38</v>
      </c>
      <c r="B44" s="138" t="s">
        <v>31</v>
      </c>
      <c r="C44" s="138" t="s">
        <v>64</v>
      </c>
      <c r="D44" s="140">
        <v>24000</v>
      </c>
      <c r="E44" s="140">
        <v>40000</v>
      </c>
      <c r="F44" s="141"/>
      <c r="G44" s="142"/>
      <c r="H44" s="141">
        <f>(Table24232567891011121314151620192122[[#This Row],[STOK]]-Table24232567891011121314151620192122[[#This Row],[TERJUAL]])</f>
        <v>0</v>
      </c>
      <c r="I44" s="143">
        <f>(Table24232567891011121314151620192122[HARGA JUAL]*Table24232567891011121314151620192122[TERJUAL])-(Table24232567891011121314151620192122[HARGA POKOK]*Table24232567891011121314151620192122[TERJUAL])</f>
        <v>0</v>
      </c>
      <c r="J44" s="143">
        <f>(Table24232567891011121314151620192122[HARGA JUAL]*Table24232567891011121314151620192122[TERJUAL])</f>
        <v>0</v>
      </c>
      <c r="K44" s="143">
        <f>Table24232567891011121314151620192122[HARGA JUAL]*Table24232567891011121314151620192122[SISA]</f>
        <v>0</v>
      </c>
      <c r="L44" s="144">
        <f>Table24232567891011121314151620192122[HARGA POKOK]*Table24232567891011121314151620192122[STOK]</f>
        <v>0</v>
      </c>
      <c r="M44" s="144">
        <f>Table24232567891011121314151620192122[HARGA JUAL]*Table24232567891011121314151620192122[STOK]</f>
        <v>0</v>
      </c>
      <c r="N44" s="145"/>
    </row>
    <row r="45" spans="1:14" x14ac:dyDescent="0.25">
      <c r="A45" s="137">
        <v>39</v>
      </c>
      <c r="B45" s="138" t="s">
        <v>31</v>
      </c>
      <c r="C45" s="138" t="s">
        <v>322</v>
      </c>
      <c r="D45" s="140">
        <v>30000</v>
      </c>
      <c r="E45" s="140">
        <v>40000</v>
      </c>
      <c r="F45" s="141"/>
      <c r="G45" s="142"/>
      <c r="H45" s="141">
        <f>(Table24232567891011121314151620192122[[#This Row],[STOK]]-Table24232567891011121314151620192122[[#This Row],[TERJUAL]])</f>
        <v>0</v>
      </c>
      <c r="I45" s="143">
        <f>(Table24232567891011121314151620192122[HARGA JUAL]*Table24232567891011121314151620192122[TERJUAL])-(Table24232567891011121314151620192122[HARGA POKOK]*Table24232567891011121314151620192122[TERJUAL])</f>
        <v>0</v>
      </c>
      <c r="J45" s="143">
        <f>(Table24232567891011121314151620192122[HARGA JUAL]*Table24232567891011121314151620192122[TERJUAL])</f>
        <v>0</v>
      </c>
      <c r="K45" s="143">
        <f>Table24232567891011121314151620192122[HARGA JUAL]*Table24232567891011121314151620192122[SISA]</f>
        <v>0</v>
      </c>
      <c r="L45" s="144">
        <f>Table24232567891011121314151620192122[HARGA POKOK]*Table24232567891011121314151620192122[STOK]</f>
        <v>0</v>
      </c>
      <c r="M45" s="144">
        <f>Table24232567891011121314151620192122[HARGA JUAL]*Table24232567891011121314151620192122[STOK]</f>
        <v>0</v>
      </c>
      <c r="N45" s="145"/>
    </row>
    <row r="46" spans="1:14" x14ac:dyDescent="0.25">
      <c r="A46" s="137"/>
      <c r="B46" s="138" t="s">
        <v>31</v>
      </c>
      <c r="C46" s="138" t="s">
        <v>319</v>
      </c>
      <c r="D46" s="140">
        <v>63000</v>
      </c>
      <c r="E46" s="140">
        <v>75000</v>
      </c>
      <c r="F46" s="141">
        <v>2</v>
      </c>
      <c r="G46" s="142"/>
      <c r="H46" s="141">
        <f>(Table24232567891011121314151620192122[[#This Row],[STOK]]-Table24232567891011121314151620192122[[#This Row],[TERJUAL]])</f>
        <v>2</v>
      </c>
      <c r="I46" s="143">
        <f>(Table24232567891011121314151620192122[HARGA JUAL]*Table24232567891011121314151620192122[TERJUAL])-(Table24232567891011121314151620192122[HARGA POKOK]*Table24232567891011121314151620192122[TERJUAL])</f>
        <v>0</v>
      </c>
      <c r="J46" s="143">
        <f>(Table24232567891011121314151620192122[HARGA JUAL]*Table24232567891011121314151620192122[TERJUAL])</f>
        <v>0</v>
      </c>
      <c r="K46" s="143">
        <f>Table24232567891011121314151620192122[HARGA JUAL]*Table24232567891011121314151620192122[SISA]</f>
        <v>150000</v>
      </c>
      <c r="L46" s="144">
        <f>Table24232567891011121314151620192122[HARGA POKOK]*Table24232567891011121314151620192122[STOK]</f>
        <v>126000</v>
      </c>
      <c r="M46" s="144">
        <f>Table24232567891011121314151620192122[HARGA JUAL]*Table24232567891011121314151620192122[STOK]</f>
        <v>150000</v>
      </c>
      <c r="N46" s="145"/>
    </row>
    <row r="47" spans="1:14" x14ac:dyDescent="0.25">
      <c r="A47" s="137">
        <v>40</v>
      </c>
      <c r="B47" s="138" t="s">
        <v>31</v>
      </c>
      <c r="C47" s="138" t="s">
        <v>343</v>
      </c>
      <c r="D47" s="140">
        <v>30000</v>
      </c>
      <c r="E47" s="140">
        <v>35000</v>
      </c>
      <c r="F47" s="141">
        <v>3</v>
      </c>
      <c r="G47" s="142">
        <v>1</v>
      </c>
      <c r="H47" s="141">
        <f>(Table24232567891011121314151620192122[[#This Row],[STOK]]-Table24232567891011121314151620192122[[#This Row],[TERJUAL]])</f>
        <v>2</v>
      </c>
      <c r="I47" s="143">
        <f>(Table24232567891011121314151620192122[HARGA JUAL]*Table24232567891011121314151620192122[TERJUAL])-(Table24232567891011121314151620192122[HARGA POKOK]*Table24232567891011121314151620192122[TERJUAL])</f>
        <v>5000</v>
      </c>
      <c r="J47" s="143">
        <f>(Table24232567891011121314151620192122[HARGA JUAL]*Table24232567891011121314151620192122[TERJUAL])</f>
        <v>35000</v>
      </c>
      <c r="K47" s="143">
        <f>Table24232567891011121314151620192122[HARGA JUAL]*Table24232567891011121314151620192122[SISA]</f>
        <v>70000</v>
      </c>
      <c r="L47" s="144">
        <f>Table24232567891011121314151620192122[HARGA POKOK]*Table24232567891011121314151620192122[STOK]</f>
        <v>90000</v>
      </c>
      <c r="M47" s="144">
        <f>Table24232567891011121314151620192122[HARGA JUAL]*Table24232567891011121314151620192122[STOK]</f>
        <v>105000</v>
      </c>
      <c r="N47" s="145"/>
    </row>
    <row r="48" spans="1:14" x14ac:dyDescent="0.25">
      <c r="A48" s="137">
        <v>41</v>
      </c>
      <c r="B48" s="138" t="s">
        <v>31</v>
      </c>
      <c r="C48" s="138" t="s">
        <v>67</v>
      </c>
      <c r="D48" s="140">
        <v>41000</v>
      </c>
      <c r="E48" s="140">
        <v>46000</v>
      </c>
      <c r="F48" s="141">
        <v>11</v>
      </c>
      <c r="G48" s="142">
        <v>3</v>
      </c>
      <c r="H48" s="141">
        <f>(Table24232567891011121314151620192122[[#This Row],[STOK]]-Table24232567891011121314151620192122[[#This Row],[TERJUAL]])</f>
        <v>8</v>
      </c>
      <c r="I48" s="143">
        <f>(Table24232567891011121314151620192122[HARGA JUAL]*Table24232567891011121314151620192122[TERJUAL])-(Table24232567891011121314151620192122[HARGA POKOK]*Table24232567891011121314151620192122[TERJUAL])</f>
        <v>15000</v>
      </c>
      <c r="J48" s="143">
        <f>(Table24232567891011121314151620192122[HARGA JUAL]*Table24232567891011121314151620192122[TERJUAL])</f>
        <v>138000</v>
      </c>
      <c r="K48" s="143">
        <f>Table24232567891011121314151620192122[HARGA JUAL]*Table24232567891011121314151620192122[SISA]</f>
        <v>368000</v>
      </c>
      <c r="L48" s="144">
        <f>Table24232567891011121314151620192122[HARGA POKOK]*Table24232567891011121314151620192122[STOK]</f>
        <v>451000</v>
      </c>
      <c r="M48" s="144">
        <f>Table24232567891011121314151620192122[HARGA JUAL]*Table24232567891011121314151620192122[STOK]</f>
        <v>506000</v>
      </c>
      <c r="N48" s="145"/>
    </row>
    <row r="49" spans="1:14" x14ac:dyDescent="0.25">
      <c r="A49" s="137">
        <v>42</v>
      </c>
      <c r="B49" s="138" t="s">
        <v>31</v>
      </c>
      <c r="C49" s="138" t="s">
        <v>309</v>
      </c>
      <c r="D49" s="140">
        <v>30000</v>
      </c>
      <c r="E49" s="140">
        <v>45000</v>
      </c>
      <c r="F49" s="141"/>
      <c r="G49" s="142"/>
      <c r="H49" s="141">
        <f>(Table24232567891011121314151620192122[[#This Row],[STOK]]-Table24232567891011121314151620192122[[#This Row],[TERJUAL]])</f>
        <v>0</v>
      </c>
      <c r="I49" s="143">
        <f>(Table24232567891011121314151620192122[HARGA JUAL]*Table24232567891011121314151620192122[TERJUAL])-(Table24232567891011121314151620192122[HARGA POKOK]*Table24232567891011121314151620192122[TERJUAL])</f>
        <v>0</v>
      </c>
      <c r="J49" s="143">
        <f>(Table24232567891011121314151620192122[HARGA JUAL]*Table24232567891011121314151620192122[TERJUAL])</f>
        <v>0</v>
      </c>
      <c r="K49" s="143">
        <f>Table24232567891011121314151620192122[HARGA JUAL]*Table24232567891011121314151620192122[SISA]</f>
        <v>0</v>
      </c>
      <c r="L49" s="144">
        <f>Table24232567891011121314151620192122[HARGA POKOK]*Table24232567891011121314151620192122[STOK]</f>
        <v>0</v>
      </c>
      <c r="M49" s="144">
        <f>Table24232567891011121314151620192122[HARGA JUAL]*Table24232567891011121314151620192122[STOK]</f>
        <v>0</v>
      </c>
      <c r="N49" s="145"/>
    </row>
    <row r="50" spans="1:14" x14ac:dyDescent="0.25">
      <c r="A50" s="137">
        <v>43</v>
      </c>
      <c r="B50" s="138" t="s">
        <v>31</v>
      </c>
      <c r="C50" s="138" t="s">
        <v>324</v>
      </c>
      <c r="D50" s="140">
        <v>190000</v>
      </c>
      <c r="E50" s="140">
        <v>200000</v>
      </c>
      <c r="F50" s="141">
        <v>3</v>
      </c>
      <c r="G50" s="142">
        <v>2</v>
      </c>
      <c r="H50" s="141">
        <f>(Table24232567891011121314151620192122[[#This Row],[STOK]]-Table24232567891011121314151620192122[[#This Row],[TERJUAL]])</f>
        <v>1</v>
      </c>
      <c r="I50" s="143">
        <f>(Table24232567891011121314151620192122[HARGA JUAL]*Table24232567891011121314151620192122[TERJUAL])-(Table24232567891011121314151620192122[HARGA POKOK]*Table24232567891011121314151620192122[TERJUAL])</f>
        <v>20000</v>
      </c>
      <c r="J50" s="143">
        <f>(Table24232567891011121314151620192122[HARGA JUAL]*Table24232567891011121314151620192122[TERJUAL])</f>
        <v>400000</v>
      </c>
      <c r="K50" s="143">
        <f>Table24232567891011121314151620192122[HARGA JUAL]*Table24232567891011121314151620192122[SISA]</f>
        <v>200000</v>
      </c>
      <c r="L50" s="144">
        <f>Table24232567891011121314151620192122[HARGA POKOK]*Table24232567891011121314151620192122[STOK]</f>
        <v>570000</v>
      </c>
      <c r="M50" s="144">
        <f>Table24232567891011121314151620192122[HARGA JUAL]*Table24232567891011121314151620192122[STOK]</f>
        <v>600000</v>
      </c>
      <c r="N50" s="145"/>
    </row>
    <row r="51" spans="1:14" x14ac:dyDescent="0.25">
      <c r="A51" s="137">
        <v>44</v>
      </c>
      <c r="B51" s="138" t="s">
        <v>31</v>
      </c>
      <c r="C51" s="138" t="s">
        <v>139</v>
      </c>
      <c r="D51" s="140">
        <v>16000</v>
      </c>
      <c r="E51" s="140">
        <v>25000</v>
      </c>
      <c r="F51" s="141">
        <v>1</v>
      </c>
      <c r="G51" s="142"/>
      <c r="H51" s="141">
        <f>(Table24232567891011121314151620192122[[#This Row],[STOK]]-Table24232567891011121314151620192122[[#This Row],[TERJUAL]])</f>
        <v>1</v>
      </c>
      <c r="I51" s="143">
        <f>(Table24232567891011121314151620192122[HARGA JUAL]*Table24232567891011121314151620192122[TERJUAL])-(Table24232567891011121314151620192122[HARGA POKOK]*Table24232567891011121314151620192122[TERJUAL])</f>
        <v>0</v>
      </c>
      <c r="J51" s="143">
        <f>(Table24232567891011121314151620192122[HARGA JUAL]*Table24232567891011121314151620192122[TERJUAL])</f>
        <v>0</v>
      </c>
      <c r="K51" s="143">
        <f>Table24232567891011121314151620192122[HARGA JUAL]*Table24232567891011121314151620192122[SISA]</f>
        <v>25000</v>
      </c>
      <c r="L51" s="144">
        <f>Table24232567891011121314151620192122[HARGA POKOK]*Table24232567891011121314151620192122[STOK]</f>
        <v>16000</v>
      </c>
      <c r="M51" s="144">
        <f>Table24232567891011121314151620192122[HARGA JUAL]*Table24232567891011121314151620192122[STOK]</f>
        <v>25000</v>
      </c>
      <c r="N51" s="145"/>
    </row>
    <row r="52" spans="1:14" x14ac:dyDescent="0.25">
      <c r="A52" s="137">
        <v>45</v>
      </c>
      <c r="B52" s="138" t="s">
        <v>31</v>
      </c>
      <c r="C52" s="138" t="s">
        <v>320</v>
      </c>
      <c r="D52" s="140">
        <v>34000</v>
      </c>
      <c r="E52" s="140">
        <v>40000</v>
      </c>
      <c r="F52" s="141">
        <v>8</v>
      </c>
      <c r="G52" s="142"/>
      <c r="H52" s="141">
        <f>(Table24232567891011121314151620192122[[#This Row],[STOK]]-Table24232567891011121314151620192122[[#This Row],[TERJUAL]])</f>
        <v>8</v>
      </c>
      <c r="I52" s="143">
        <f>(Table24232567891011121314151620192122[HARGA JUAL]*Table24232567891011121314151620192122[TERJUAL])-(Table24232567891011121314151620192122[HARGA POKOK]*Table24232567891011121314151620192122[TERJUAL])</f>
        <v>0</v>
      </c>
      <c r="J52" s="143">
        <f>(Table24232567891011121314151620192122[HARGA JUAL]*Table24232567891011121314151620192122[TERJUAL])</f>
        <v>0</v>
      </c>
      <c r="K52" s="143">
        <f>Table24232567891011121314151620192122[HARGA JUAL]*Table24232567891011121314151620192122[SISA]</f>
        <v>320000</v>
      </c>
      <c r="L52" s="144">
        <f>Table24232567891011121314151620192122[HARGA POKOK]*Table24232567891011121314151620192122[STOK]</f>
        <v>272000</v>
      </c>
      <c r="M52" s="144">
        <f>Table24232567891011121314151620192122[HARGA JUAL]*Table24232567891011121314151620192122[STOK]</f>
        <v>320000</v>
      </c>
      <c r="N52" s="145"/>
    </row>
    <row r="53" spans="1:14" x14ac:dyDescent="0.25">
      <c r="A53" s="137">
        <v>46</v>
      </c>
      <c r="B53" s="138" t="s">
        <v>31</v>
      </c>
      <c r="C53" s="138" t="s">
        <v>141</v>
      </c>
      <c r="D53" s="140">
        <v>18000</v>
      </c>
      <c r="E53" s="140">
        <v>30000</v>
      </c>
      <c r="F53" s="141">
        <v>9</v>
      </c>
      <c r="G53" s="142">
        <v>1</v>
      </c>
      <c r="H53" s="141">
        <f>(Table24232567891011121314151620192122[[#This Row],[STOK]]-Table24232567891011121314151620192122[[#This Row],[TERJUAL]])</f>
        <v>8</v>
      </c>
      <c r="I53" s="143">
        <f>(Table24232567891011121314151620192122[HARGA JUAL]*Table24232567891011121314151620192122[TERJUAL])-(Table24232567891011121314151620192122[HARGA POKOK]*Table24232567891011121314151620192122[TERJUAL])</f>
        <v>12000</v>
      </c>
      <c r="J53" s="143">
        <f>(Table24232567891011121314151620192122[HARGA JUAL]*Table24232567891011121314151620192122[TERJUAL])</f>
        <v>30000</v>
      </c>
      <c r="K53" s="143">
        <f>Table24232567891011121314151620192122[HARGA JUAL]*Table24232567891011121314151620192122[SISA]</f>
        <v>240000</v>
      </c>
      <c r="L53" s="144">
        <f>Table24232567891011121314151620192122[HARGA POKOK]*Table24232567891011121314151620192122[STOK]</f>
        <v>162000</v>
      </c>
      <c r="M53" s="144">
        <f>Table24232567891011121314151620192122[HARGA JUAL]*Table24232567891011121314151620192122[STOK]</f>
        <v>270000</v>
      </c>
      <c r="N53" s="145"/>
    </row>
    <row r="54" spans="1:14" x14ac:dyDescent="0.25">
      <c r="A54" s="137">
        <v>47</v>
      </c>
      <c r="B54" s="138" t="s">
        <v>31</v>
      </c>
      <c r="C54" s="193" t="s">
        <v>184</v>
      </c>
      <c r="D54" s="140">
        <v>12500</v>
      </c>
      <c r="E54" s="140">
        <v>30000</v>
      </c>
      <c r="F54" s="141">
        <v>72</v>
      </c>
      <c r="G54" s="142">
        <v>2</v>
      </c>
      <c r="H54" s="141">
        <f>(Table24232567891011121314151620192122[[#This Row],[STOK]]-Table24232567891011121314151620192122[[#This Row],[TERJUAL]])</f>
        <v>70</v>
      </c>
      <c r="I54" s="143">
        <f>(Table24232567891011121314151620192122[HARGA JUAL]*Table24232567891011121314151620192122[TERJUAL])-(Table24232567891011121314151620192122[HARGA POKOK]*Table24232567891011121314151620192122[TERJUAL])</f>
        <v>35000</v>
      </c>
      <c r="J54" s="143">
        <f>(Table24232567891011121314151620192122[HARGA JUAL]*Table24232567891011121314151620192122[TERJUAL])</f>
        <v>60000</v>
      </c>
      <c r="K54" s="143">
        <f>Table24232567891011121314151620192122[HARGA JUAL]*Table24232567891011121314151620192122[SISA]</f>
        <v>2100000</v>
      </c>
      <c r="L54" s="144">
        <f>Table24232567891011121314151620192122[HARGA POKOK]*Table24232567891011121314151620192122[STOK]</f>
        <v>900000</v>
      </c>
      <c r="M54" s="144">
        <f>Table24232567891011121314151620192122[HARGA JUAL]*Table24232567891011121314151620192122[STOK]</f>
        <v>2160000</v>
      </c>
      <c r="N54" s="145"/>
    </row>
    <row r="55" spans="1:14" x14ac:dyDescent="0.25">
      <c r="A55" s="283">
        <v>48</v>
      </c>
      <c r="B55" s="284" t="s">
        <v>31</v>
      </c>
      <c r="C55" s="284" t="s">
        <v>185</v>
      </c>
      <c r="D55" s="285">
        <v>28500</v>
      </c>
      <c r="E55" s="285">
        <v>10000</v>
      </c>
      <c r="F55" s="286">
        <v>10</v>
      </c>
      <c r="G55" s="287"/>
      <c r="H55" s="286">
        <f>(Table24232567891011121314151620192122[[#This Row],[STOK]]-Table24232567891011121314151620192122[[#This Row],[TERJUAL]])</f>
        <v>10</v>
      </c>
      <c r="I55" s="288">
        <f>(Table24232567891011121314151620192122[HARGA JUAL]*Table24232567891011121314151620192122[TERJUAL])-(Table24232567891011121314151620192122[HARGA POKOK]*Table24232567891011121314151620192122[TERJUAL])</f>
        <v>0</v>
      </c>
      <c r="J55" s="288">
        <f>(Table24232567891011121314151620192122[HARGA JUAL]*Table24232567891011121314151620192122[TERJUAL])</f>
        <v>0</v>
      </c>
      <c r="K55" s="288">
        <f>Table24232567891011121314151620192122[HARGA JUAL]*Table24232567891011121314151620192122[SISA]</f>
        <v>100000</v>
      </c>
      <c r="L55" s="289">
        <f>Table24232567891011121314151620192122[HARGA POKOK]*Table24232567891011121314151620192122[STOK]</f>
        <v>285000</v>
      </c>
      <c r="M55" s="289">
        <f>Table24232567891011121314151620192122[HARGA JUAL]*Table24232567891011121314151620192122[STOK]</f>
        <v>100000</v>
      </c>
      <c r="N55" s="290" t="s">
        <v>179</v>
      </c>
    </row>
    <row r="56" spans="1:14" x14ac:dyDescent="0.25">
      <c r="A56" s="137">
        <v>49</v>
      </c>
      <c r="B56" s="138" t="s">
        <v>31</v>
      </c>
      <c r="C56" s="138" t="s">
        <v>186</v>
      </c>
      <c r="D56" s="140">
        <v>48500</v>
      </c>
      <c r="E56" s="140">
        <v>65000</v>
      </c>
      <c r="F56" s="141">
        <v>7</v>
      </c>
      <c r="G56" s="142"/>
      <c r="H56" s="141">
        <f>(Table24232567891011121314151620192122[[#This Row],[STOK]]-Table24232567891011121314151620192122[[#This Row],[TERJUAL]])</f>
        <v>7</v>
      </c>
      <c r="I56" s="143">
        <f>(Table24232567891011121314151620192122[HARGA JUAL]*Table24232567891011121314151620192122[TERJUAL])-(Table24232567891011121314151620192122[HARGA POKOK]*Table24232567891011121314151620192122[TERJUAL])</f>
        <v>0</v>
      </c>
      <c r="J56" s="143">
        <f>(Table24232567891011121314151620192122[HARGA JUAL]*Table24232567891011121314151620192122[TERJUAL])</f>
        <v>0</v>
      </c>
      <c r="K56" s="143">
        <f>Table24232567891011121314151620192122[HARGA JUAL]*Table24232567891011121314151620192122[SISA]</f>
        <v>455000</v>
      </c>
      <c r="L56" s="144">
        <f>Table24232567891011121314151620192122[HARGA POKOK]*Table24232567891011121314151620192122[STOK]</f>
        <v>339500</v>
      </c>
      <c r="M56" s="144">
        <f>Table24232567891011121314151620192122[HARGA JUAL]*Table24232567891011121314151620192122[STOK]</f>
        <v>455000</v>
      </c>
      <c r="N56" s="145"/>
    </row>
    <row r="57" spans="1:14" x14ac:dyDescent="0.25">
      <c r="A57" s="137">
        <v>50</v>
      </c>
      <c r="B57" s="138" t="s">
        <v>31</v>
      </c>
      <c r="C57" s="138" t="s">
        <v>187</v>
      </c>
      <c r="D57" s="140">
        <v>47500</v>
      </c>
      <c r="E57" s="140">
        <v>65000</v>
      </c>
      <c r="F57" s="141">
        <v>16</v>
      </c>
      <c r="G57" s="142">
        <v>10</v>
      </c>
      <c r="H57" s="141">
        <f>(Table24232567891011121314151620192122[[#This Row],[STOK]]-Table24232567891011121314151620192122[[#This Row],[TERJUAL]])</f>
        <v>6</v>
      </c>
      <c r="I57" s="143">
        <f>(Table24232567891011121314151620192122[HARGA JUAL]*Table24232567891011121314151620192122[TERJUAL])-(Table24232567891011121314151620192122[HARGA POKOK]*Table24232567891011121314151620192122[TERJUAL])</f>
        <v>175000</v>
      </c>
      <c r="J57" s="143">
        <f>(Table24232567891011121314151620192122[HARGA JUAL]*Table24232567891011121314151620192122[TERJUAL])</f>
        <v>650000</v>
      </c>
      <c r="K57" s="143">
        <f>Table24232567891011121314151620192122[HARGA JUAL]*Table24232567891011121314151620192122[SISA]</f>
        <v>390000</v>
      </c>
      <c r="L57" s="144">
        <f>Table24232567891011121314151620192122[HARGA POKOK]*Table24232567891011121314151620192122[STOK]</f>
        <v>760000</v>
      </c>
      <c r="M57" s="144">
        <f>Table24232567891011121314151620192122[HARGA JUAL]*Table24232567891011121314151620192122[STOK]</f>
        <v>1040000</v>
      </c>
      <c r="N57" s="145"/>
    </row>
    <row r="58" spans="1:14" x14ac:dyDescent="0.25">
      <c r="A58" s="137">
        <v>51</v>
      </c>
      <c r="B58" s="138" t="s">
        <v>32</v>
      </c>
      <c r="C58" s="193" t="s">
        <v>18</v>
      </c>
      <c r="D58" s="140">
        <v>1700</v>
      </c>
      <c r="E58" s="140">
        <v>5000</v>
      </c>
      <c r="F58" s="141">
        <v>33</v>
      </c>
      <c r="G58" s="142">
        <v>33</v>
      </c>
      <c r="H58" s="141">
        <f>(Table24232567891011121314151620192122[[#This Row],[STOK]]-Table24232567891011121314151620192122[[#This Row],[TERJUAL]])</f>
        <v>0</v>
      </c>
      <c r="I58" s="143">
        <f>(Table24232567891011121314151620192122[HARGA JUAL]*Table24232567891011121314151620192122[TERJUAL])-(Table24232567891011121314151620192122[HARGA POKOK]*Table24232567891011121314151620192122[TERJUAL])</f>
        <v>108900</v>
      </c>
      <c r="J58" s="143">
        <f>(Table24232567891011121314151620192122[HARGA JUAL]*Table24232567891011121314151620192122[TERJUAL])</f>
        <v>165000</v>
      </c>
      <c r="K58" s="143">
        <f>Table24232567891011121314151620192122[HARGA JUAL]*Table24232567891011121314151620192122[SISA]</f>
        <v>0</v>
      </c>
      <c r="L58" s="144">
        <f>Table24232567891011121314151620192122[HARGA POKOK]*Table24232567891011121314151620192122[STOK]</f>
        <v>56100</v>
      </c>
      <c r="M58" s="144">
        <f>Table24232567891011121314151620192122[HARGA JUAL]*Table24232567891011121314151620192122[STOK]</f>
        <v>165000</v>
      </c>
      <c r="N58" s="145"/>
    </row>
    <row r="59" spans="1:14" x14ac:dyDescent="0.25">
      <c r="A59" s="137">
        <v>52</v>
      </c>
      <c r="B59" s="138" t="s">
        <v>32</v>
      </c>
      <c r="C59" s="138" t="s">
        <v>21</v>
      </c>
      <c r="D59" s="140">
        <v>30000</v>
      </c>
      <c r="E59" s="140">
        <v>45000</v>
      </c>
      <c r="F59" s="141">
        <v>1</v>
      </c>
      <c r="G59" s="142"/>
      <c r="H59" s="141">
        <f>(Table24232567891011121314151620192122[[#This Row],[STOK]]-Table24232567891011121314151620192122[[#This Row],[TERJUAL]])</f>
        <v>1</v>
      </c>
      <c r="I59" s="143">
        <f>(Table24232567891011121314151620192122[HARGA JUAL]*Table24232567891011121314151620192122[TERJUAL])-(Table24232567891011121314151620192122[HARGA POKOK]*Table24232567891011121314151620192122[TERJUAL])</f>
        <v>0</v>
      </c>
      <c r="J59" s="143">
        <f>(Table24232567891011121314151620192122[HARGA JUAL]*Table24232567891011121314151620192122[TERJUAL])</f>
        <v>0</v>
      </c>
      <c r="K59" s="143">
        <f>Table24232567891011121314151620192122[HARGA JUAL]*Table24232567891011121314151620192122[SISA]</f>
        <v>45000</v>
      </c>
      <c r="L59" s="144">
        <f>Table24232567891011121314151620192122[HARGA POKOK]*Table24232567891011121314151620192122[STOK]</f>
        <v>30000</v>
      </c>
      <c r="M59" s="144">
        <f>Table24232567891011121314151620192122[HARGA JUAL]*Table24232567891011121314151620192122[STOK]</f>
        <v>45000</v>
      </c>
      <c r="N59" s="145"/>
    </row>
    <row r="60" spans="1:14" x14ac:dyDescent="0.25">
      <c r="A60" s="137">
        <v>53</v>
      </c>
      <c r="B60" s="138" t="s">
        <v>32</v>
      </c>
      <c r="C60" s="138" t="s">
        <v>20</v>
      </c>
      <c r="D60" s="140">
        <v>1500</v>
      </c>
      <c r="E60" s="140">
        <v>5000</v>
      </c>
      <c r="F60" s="141">
        <v>47</v>
      </c>
      <c r="G60" s="142"/>
      <c r="H60" s="141">
        <f>(Table24232567891011121314151620192122[[#This Row],[STOK]]-Table24232567891011121314151620192122[[#This Row],[TERJUAL]])</f>
        <v>47</v>
      </c>
      <c r="I60" s="143">
        <f>(Table24232567891011121314151620192122[HARGA JUAL]*Table24232567891011121314151620192122[TERJUAL])-(Table24232567891011121314151620192122[HARGA POKOK]*Table24232567891011121314151620192122[TERJUAL])</f>
        <v>0</v>
      </c>
      <c r="J60" s="143">
        <f>(Table24232567891011121314151620192122[HARGA JUAL]*Table24232567891011121314151620192122[TERJUAL])</f>
        <v>0</v>
      </c>
      <c r="K60" s="143">
        <f>Table24232567891011121314151620192122[HARGA JUAL]*Table24232567891011121314151620192122[SISA]</f>
        <v>235000</v>
      </c>
      <c r="L60" s="144">
        <f>Table24232567891011121314151620192122[HARGA POKOK]*Table24232567891011121314151620192122[STOK]</f>
        <v>70500</v>
      </c>
      <c r="M60" s="144">
        <f>Table24232567891011121314151620192122[HARGA JUAL]*Table24232567891011121314151620192122[STOK]</f>
        <v>235000</v>
      </c>
      <c r="N60" s="145"/>
    </row>
    <row r="61" spans="1:14" x14ac:dyDescent="0.25">
      <c r="A61" s="137">
        <v>54</v>
      </c>
      <c r="B61" s="138" t="s">
        <v>32</v>
      </c>
      <c r="C61" s="138" t="s">
        <v>23</v>
      </c>
      <c r="D61" s="140">
        <v>30000</v>
      </c>
      <c r="E61" s="140">
        <v>40000</v>
      </c>
      <c r="F61" s="141">
        <v>8</v>
      </c>
      <c r="G61" s="142"/>
      <c r="H61" s="141">
        <f>(Table24232567891011121314151620192122[[#This Row],[STOK]]-Table24232567891011121314151620192122[[#This Row],[TERJUAL]])</f>
        <v>8</v>
      </c>
      <c r="I61" s="143">
        <f>(Table24232567891011121314151620192122[HARGA JUAL]*Table24232567891011121314151620192122[TERJUAL])-(Table24232567891011121314151620192122[HARGA POKOK]*Table24232567891011121314151620192122[TERJUAL])</f>
        <v>0</v>
      </c>
      <c r="J61" s="143">
        <f>(Table24232567891011121314151620192122[HARGA JUAL]*Table24232567891011121314151620192122[TERJUAL])</f>
        <v>0</v>
      </c>
      <c r="K61" s="143">
        <f>Table24232567891011121314151620192122[HARGA JUAL]*Table24232567891011121314151620192122[SISA]</f>
        <v>320000</v>
      </c>
      <c r="L61" s="144">
        <f>Table24232567891011121314151620192122[HARGA POKOK]*Table24232567891011121314151620192122[STOK]</f>
        <v>240000</v>
      </c>
      <c r="M61" s="144">
        <f>Table24232567891011121314151620192122[HARGA JUAL]*Table24232567891011121314151620192122[STOK]</f>
        <v>320000</v>
      </c>
      <c r="N61" s="145"/>
    </row>
    <row r="62" spans="1:14" x14ac:dyDescent="0.25">
      <c r="A62" s="137">
        <v>55</v>
      </c>
      <c r="B62" s="138" t="s">
        <v>32</v>
      </c>
      <c r="C62" s="138" t="s">
        <v>19</v>
      </c>
      <c r="D62" s="140">
        <v>1600</v>
      </c>
      <c r="E62" s="140">
        <v>5000</v>
      </c>
      <c r="F62" s="141">
        <v>150</v>
      </c>
      <c r="G62" s="142">
        <v>5</v>
      </c>
      <c r="H62" s="141">
        <f>(Table24232567891011121314151620192122[[#This Row],[STOK]]-Table24232567891011121314151620192122[[#This Row],[TERJUAL]])</f>
        <v>145</v>
      </c>
      <c r="I62" s="143">
        <f>(Table24232567891011121314151620192122[HARGA JUAL]*Table24232567891011121314151620192122[TERJUAL])-(Table24232567891011121314151620192122[HARGA POKOK]*Table24232567891011121314151620192122[TERJUAL])</f>
        <v>17000</v>
      </c>
      <c r="J62" s="143">
        <f>(Table24232567891011121314151620192122[HARGA JUAL]*Table24232567891011121314151620192122[TERJUAL])</f>
        <v>25000</v>
      </c>
      <c r="K62" s="143">
        <f>Table24232567891011121314151620192122[HARGA JUAL]*Table24232567891011121314151620192122[SISA]</f>
        <v>725000</v>
      </c>
      <c r="L62" s="144">
        <f>Table24232567891011121314151620192122[HARGA POKOK]*Table24232567891011121314151620192122[STOK]</f>
        <v>240000</v>
      </c>
      <c r="M62" s="144">
        <f>Table24232567891011121314151620192122[HARGA JUAL]*Table24232567891011121314151620192122[STOK]</f>
        <v>750000</v>
      </c>
      <c r="N62" s="145"/>
    </row>
    <row r="63" spans="1:14" x14ac:dyDescent="0.25">
      <c r="A63" s="137">
        <v>56</v>
      </c>
      <c r="B63" s="138" t="s">
        <v>32</v>
      </c>
      <c r="C63" s="138" t="s">
        <v>22</v>
      </c>
      <c r="D63" s="140">
        <v>30000</v>
      </c>
      <c r="E63" s="140">
        <v>40000</v>
      </c>
      <c r="F63" s="141">
        <v>1</v>
      </c>
      <c r="G63" s="142"/>
      <c r="H63" s="141">
        <f>(Table24232567891011121314151620192122[[#This Row],[STOK]]-Table24232567891011121314151620192122[[#This Row],[TERJUAL]])</f>
        <v>1</v>
      </c>
      <c r="I63" s="143">
        <f>(Table24232567891011121314151620192122[HARGA JUAL]*Table24232567891011121314151620192122[TERJUAL])-(Table24232567891011121314151620192122[HARGA POKOK]*Table24232567891011121314151620192122[TERJUAL])</f>
        <v>0</v>
      </c>
      <c r="J63" s="143">
        <f>(Table24232567891011121314151620192122[HARGA JUAL]*Table24232567891011121314151620192122[TERJUAL])</f>
        <v>0</v>
      </c>
      <c r="K63" s="143">
        <f>Table24232567891011121314151620192122[HARGA JUAL]*Table24232567891011121314151620192122[SISA]</f>
        <v>40000</v>
      </c>
      <c r="L63" s="144">
        <f>Table24232567891011121314151620192122[HARGA POKOK]*Table24232567891011121314151620192122[STOK]</f>
        <v>30000</v>
      </c>
      <c r="M63" s="144">
        <f>Table24232567891011121314151620192122[HARGA JUAL]*Table24232567891011121314151620192122[STOK]</f>
        <v>40000</v>
      </c>
      <c r="N63" s="145"/>
    </row>
    <row r="64" spans="1:14" x14ac:dyDescent="0.25">
      <c r="A64" s="137"/>
      <c r="B64" s="138"/>
      <c r="C64" s="138" t="s">
        <v>349</v>
      </c>
      <c r="D64" s="140">
        <v>2500</v>
      </c>
      <c r="E64" s="140">
        <v>5000</v>
      </c>
      <c r="F64" s="141">
        <v>30</v>
      </c>
      <c r="G64" s="142"/>
      <c r="H64" s="141">
        <f>(Table24232567891011121314151620192122[[#This Row],[STOK]]-Table24232567891011121314151620192122[[#This Row],[TERJUAL]])</f>
        <v>30</v>
      </c>
      <c r="I64" s="143">
        <f>(Table24232567891011121314151620192122[HARGA JUAL]*Table24232567891011121314151620192122[TERJUAL])-(Table24232567891011121314151620192122[HARGA POKOK]*Table24232567891011121314151620192122[TERJUAL])</f>
        <v>0</v>
      </c>
      <c r="J64" s="143">
        <f>(Table24232567891011121314151620192122[HARGA JUAL]*Table24232567891011121314151620192122[TERJUAL])</f>
        <v>0</v>
      </c>
      <c r="K64" s="143">
        <f>Table24232567891011121314151620192122[HARGA JUAL]*Table24232567891011121314151620192122[SISA]</f>
        <v>150000</v>
      </c>
      <c r="L64" s="144">
        <f>Table24232567891011121314151620192122[HARGA POKOK]*Table24232567891011121314151620192122[STOK]</f>
        <v>75000</v>
      </c>
      <c r="M64" s="144">
        <f>Table24232567891011121314151620192122[HARGA JUAL]*Table24232567891011121314151620192122[STOK]</f>
        <v>150000</v>
      </c>
      <c r="N64" s="145"/>
    </row>
    <row r="65" spans="1:14" x14ac:dyDescent="0.25">
      <c r="A65" s="137">
        <v>57</v>
      </c>
      <c r="B65" s="138" t="s">
        <v>32</v>
      </c>
      <c r="C65" s="138" t="s">
        <v>24</v>
      </c>
      <c r="D65" s="140">
        <v>17500</v>
      </c>
      <c r="E65" s="140">
        <v>40000</v>
      </c>
      <c r="F65" s="141">
        <v>0</v>
      </c>
      <c r="G65" s="142"/>
      <c r="H65" s="141">
        <f>(Table24232567891011121314151620192122[[#This Row],[STOK]]-Table24232567891011121314151620192122[[#This Row],[TERJUAL]])</f>
        <v>0</v>
      </c>
      <c r="I65" s="143">
        <f>(Table24232567891011121314151620192122[HARGA JUAL]*Table24232567891011121314151620192122[TERJUAL])-(Table24232567891011121314151620192122[HARGA POKOK]*Table24232567891011121314151620192122[TERJUAL])</f>
        <v>0</v>
      </c>
      <c r="J65" s="143">
        <f>(Table24232567891011121314151620192122[HARGA JUAL]*Table24232567891011121314151620192122[TERJUAL])</f>
        <v>0</v>
      </c>
      <c r="K65" s="143">
        <f>Table24232567891011121314151620192122[HARGA JUAL]*Table24232567891011121314151620192122[SISA]</f>
        <v>0</v>
      </c>
      <c r="L65" s="144">
        <f>Table24232567891011121314151620192122[HARGA POKOK]*Table24232567891011121314151620192122[STOK]</f>
        <v>0</v>
      </c>
      <c r="M65" s="144">
        <f>Table24232567891011121314151620192122[HARGA JUAL]*Table24232567891011121314151620192122[STOK]</f>
        <v>0</v>
      </c>
      <c r="N65" s="145"/>
    </row>
    <row r="66" spans="1:14" x14ac:dyDescent="0.25">
      <c r="A66" s="137">
        <v>58</v>
      </c>
      <c r="B66" s="138" t="s">
        <v>144</v>
      </c>
      <c r="C66" s="138" t="s">
        <v>145</v>
      </c>
      <c r="D66" s="140">
        <v>3000</v>
      </c>
      <c r="E66" s="140">
        <v>6000</v>
      </c>
      <c r="F66" s="141">
        <v>49</v>
      </c>
      <c r="G66" s="142">
        <v>3</v>
      </c>
      <c r="H66" s="141">
        <f>(Table24232567891011121314151620192122[[#This Row],[STOK]]-Table24232567891011121314151620192122[[#This Row],[TERJUAL]])</f>
        <v>46</v>
      </c>
      <c r="I66" s="143">
        <f>(Table24232567891011121314151620192122[HARGA JUAL]*Table24232567891011121314151620192122[TERJUAL])-(Table24232567891011121314151620192122[HARGA POKOK]*Table24232567891011121314151620192122[TERJUAL])</f>
        <v>9000</v>
      </c>
      <c r="J66" s="143">
        <f>(Table24232567891011121314151620192122[HARGA JUAL]*Table24232567891011121314151620192122[TERJUAL])</f>
        <v>18000</v>
      </c>
      <c r="K66" s="143">
        <f>Table24232567891011121314151620192122[HARGA JUAL]*Table24232567891011121314151620192122[SISA]</f>
        <v>276000</v>
      </c>
      <c r="L66" s="144">
        <f>Table24232567891011121314151620192122[HARGA POKOK]*Table24232567891011121314151620192122[STOK]</f>
        <v>147000</v>
      </c>
      <c r="M66" s="144">
        <f>Table24232567891011121314151620192122[HARGA JUAL]*Table24232567891011121314151620192122[STOK]</f>
        <v>294000</v>
      </c>
      <c r="N66" s="145"/>
    </row>
    <row r="67" spans="1:14" x14ac:dyDescent="0.25">
      <c r="A67" s="291">
        <v>59</v>
      </c>
      <c r="B67" s="292" t="s">
        <v>290</v>
      </c>
      <c r="C67" s="292" t="s">
        <v>188</v>
      </c>
      <c r="D67" s="293">
        <v>400000</v>
      </c>
      <c r="E67" s="293">
        <v>485000</v>
      </c>
      <c r="F67" s="312">
        <v>409</v>
      </c>
      <c r="G67" s="295">
        <v>81</v>
      </c>
      <c r="H67" s="294">
        <f>(Table24232567891011121314151620192122[[#This Row],[STOK]]-Table24232567891011121314151620192122[[#This Row],[TERJUAL]])</f>
        <v>328</v>
      </c>
      <c r="I67" s="296">
        <f>(Table24232567891011121314151620192122[HARGA JUAL]*Table24232567891011121314151620192122[TERJUAL])-(Table24232567891011121314151620192122[HARGA POKOK]*Table24232567891011121314151620192122[TERJUAL])</f>
        <v>6885000</v>
      </c>
      <c r="J67" s="296">
        <f>(Table24232567891011121314151620192122[HARGA JUAL]*Table24232567891011121314151620192122[TERJUAL])</f>
        <v>39285000</v>
      </c>
      <c r="K67" s="296">
        <f>Table24232567891011121314151620192122[HARGA JUAL]*Table24232567891011121314151620192122[SISA]</f>
        <v>159080000</v>
      </c>
      <c r="L67" s="297">
        <f>Table24232567891011121314151620192122[HARGA POKOK]*Table24232567891011121314151620192122[STOK]</f>
        <v>163600000</v>
      </c>
      <c r="M67" s="297">
        <f>Table24232567891011121314151620192122[HARGA JUAL]*Table24232567891011121314151620192122[STOK]</f>
        <v>198365000</v>
      </c>
      <c r="N67" s="298"/>
    </row>
    <row r="68" spans="1:14" x14ac:dyDescent="0.25">
      <c r="A68" s="137">
        <v>60</v>
      </c>
      <c r="B68" s="138" t="s">
        <v>33</v>
      </c>
      <c r="C68" s="138" t="s">
        <v>189</v>
      </c>
      <c r="D68" s="140">
        <v>452000</v>
      </c>
      <c r="E68" s="140">
        <v>560000</v>
      </c>
      <c r="F68" s="141">
        <v>0</v>
      </c>
      <c r="G68" s="142"/>
      <c r="H68" s="141">
        <f>(Table24232567891011121314151620192122[[#This Row],[STOK]]-Table24232567891011121314151620192122[[#This Row],[TERJUAL]])</f>
        <v>0</v>
      </c>
      <c r="I68" s="143">
        <f>(Table24232567891011121314151620192122[HARGA JUAL]*Table24232567891011121314151620192122[TERJUAL])-(Table24232567891011121314151620192122[HARGA POKOK]*Table24232567891011121314151620192122[TERJUAL])</f>
        <v>0</v>
      </c>
      <c r="J68" s="143">
        <f>(Table24232567891011121314151620192122[HARGA JUAL]*Table24232567891011121314151620192122[TERJUAL])</f>
        <v>0</v>
      </c>
      <c r="K68" s="143">
        <f>Table24232567891011121314151620192122[HARGA JUAL]*Table24232567891011121314151620192122[SISA]</f>
        <v>0</v>
      </c>
      <c r="L68" s="144">
        <f>Table24232567891011121314151620192122[HARGA POKOK]*Table24232567891011121314151620192122[STOK]</f>
        <v>0</v>
      </c>
      <c r="M68" s="144">
        <f>Table24232567891011121314151620192122[HARGA JUAL]*Table24232567891011121314151620192122[STOK]</f>
        <v>0</v>
      </c>
      <c r="N68" s="145"/>
    </row>
    <row r="69" spans="1:14" x14ac:dyDescent="0.25">
      <c r="A69" s="137">
        <v>61</v>
      </c>
      <c r="B69" s="138" t="s">
        <v>192</v>
      </c>
      <c r="C69" s="138" t="s">
        <v>142</v>
      </c>
      <c r="D69" s="140">
        <v>310000</v>
      </c>
      <c r="E69" s="140">
        <v>495000</v>
      </c>
      <c r="F69" s="141">
        <v>10</v>
      </c>
      <c r="G69" s="142">
        <v>1</v>
      </c>
      <c r="H69" s="141">
        <f>(Table24232567891011121314151620192122[[#This Row],[STOK]]-Table24232567891011121314151620192122[[#This Row],[TERJUAL]])</f>
        <v>9</v>
      </c>
      <c r="I69" s="143">
        <f>(Table24232567891011121314151620192122[HARGA JUAL]*Table24232567891011121314151620192122[TERJUAL])-(Table24232567891011121314151620192122[HARGA POKOK]*Table24232567891011121314151620192122[TERJUAL])</f>
        <v>185000</v>
      </c>
      <c r="J69" s="143">
        <f>(Table24232567891011121314151620192122[HARGA JUAL]*Table24232567891011121314151620192122[TERJUAL])</f>
        <v>495000</v>
      </c>
      <c r="K69" s="143">
        <f>Table24232567891011121314151620192122[HARGA JUAL]*Table24232567891011121314151620192122[SISA]</f>
        <v>4455000</v>
      </c>
      <c r="L69" s="144">
        <f>Table24232567891011121314151620192122[HARGA POKOK]*Table24232567891011121314151620192122[STOK]</f>
        <v>3100000</v>
      </c>
      <c r="M69" s="144">
        <f>Table24232567891011121314151620192122[HARGA JUAL]*Table24232567891011121314151620192122[STOK]</f>
        <v>4950000</v>
      </c>
      <c r="N69" s="145"/>
    </row>
    <row r="70" spans="1:14" x14ac:dyDescent="0.25">
      <c r="A70" s="137">
        <v>62</v>
      </c>
      <c r="B70" s="138" t="s">
        <v>192</v>
      </c>
      <c r="C70" s="138" t="s">
        <v>269</v>
      </c>
      <c r="D70" s="140">
        <v>417000</v>
      </c>
      <c r="E70" s="140">
        <v>470000</v>
      </c>
      <c r="F70" s="141">
        <v>5</v>
      </c>
      <c r="G70" s="142">
        <v>1</v>
      </c>
      <c r="H70" s="141">
        <f>(Table24232567891011121314151620192122[[#This Row],[STOK]]-Table24232567891011121314151620192122[[#This Row],[TERJUAL]])</f>
        <v>4</v>
      </c>
      <c r="I70" s="143">
        <f>(Table24232567891011121314151620192122[HARGA JUAL]*Table24232567891011121314151620192122[TERJUAL])-(Table24232567891011121314151620192122[HARGA POKOK]*Table24232567891011121314151620192122[TERJUAL])</f>
        <v>53000</v>
      </c>
      <c r="J70" s="143">
        <f>(Table24232567891011121314151620192122[HARGA JUAL]*Table24232567891011121314151620192122[TERJUAL])</f>
        <v>470000</v>
      </c>
      <c r="K70" s="143">
        <f>Table24232567891011121314151620192122[HARGA JUAL]*Table24232567891011121314151620192122[SISA]</f>
        <v>1880000</v>
      </c>
      <c r="L70" s="144">
        <f>Table24232567891011121314151620192122[HARGA POKOK]*Table24232567891011121314151620192122[STOK]</f>
        <v>2085000</v>
      </c>
      <c r="M70" s="144">
        <f>Table24232567891011121314151620192122[HARGA JUAL]*Table24232567891011121314151620192122[STOK]</f>
        <v>2350000</v>
      </c>
      <c r="N70" s="145"/>
    </row>
    <row r="71" spans="1:14" x14ac:dyDescent="0.25">
      <c r="A71" s="137">
        <v>63</v>
      </c>
      <c r="B71" s="138" t="s">
        <v>193</v>
      </c>
      <c r="C71" s="138" t="s">
        <v>191</v>
      </c>
      <c r="D71" s="140">
        <v>9000</v>
      </c>
      <c r="E71" s="140">
        <v>16000</v>
      </c>
      <c r="F71" s="141">
        <v>200</v>
      </c>
      <c r="G71" s="142"/>
      <c r="H71" s="141">
        <f>(Table24232567891011121314151620192122[[#This Row],[STOK]]-Table24232567891011121314151620192122[[#This Row],[TERJUAL]])</f>
        <v>200</v>
      </c>
      <c r="I71" s="143">
        <f>(Table24232567891011121314151620192122[HARGA JUAL]*Table24232567891011121314151620192122[TERJUAL])-(Table24232567891011121314151620192122[HARGA POKOK]*Table24232567891011121314151620192122[TERJUAL])</f>
        <v>0</v>
      </c>
      <c r="J71" s="143">
        <f>(Table24232567891011121314151620192122[HARGA JUAL]*Table24232567891011121314151620192122[TERJUAL])</f>
        <v>0</v>
      </c>
      <c r="K71" s="143">
        <f>Table24232567891011121314151620192122[HARGA JUAL]*Table24232567891011121314151620192122[SISA]</f>
        <v>3200000</v>
      </c>
      <c r="L71" s="144">
        <f>Table24232567891011121314151620192122[HARGA POKOK]*Table24232567891011121314151620192122[STOK]</f>
        <v>1800000</v>
      </c>
      <c r="M71" s="144">
        <f>Table24232567891011121314151620192122[HARGA JUAL]*Table24232567891011121314151620192122[STOK]</f>
        <v>3200000</v>
      </c>
      <c r="N71" s="145"/>
    </row>
    <row r="72" spans="1:14" x14ac:dyDescent="0.25">
      <c r="A72" s="137">
        <v>64</v>
      </c>
      <c r="B72" s="138" t="s">
        <v>193</v>
      </c>
      <c r="C72" s="138" t="s">
        <v>214</v>
      </c>
      <c r="D72" s="140">
        <v>9000</v>
      </c>
      <c r="E72" s="140">
        <v>16000</v>
      </c>
      <c r="F72" s="141">
        <v>199</v>
      </c>
      <c r="G72" s="142">
        <v>3</v>
      </c>
      <c r="H72" s="141">
        <f>(Table24232567891011121314151620192122[[#This Row],[STOK]]-Table24232567891011121314151620192122[[#This Row],[TERJUAL]])</f>
        <v>196</v>
      </c>
      <c r="I72" s="143">
        <f>(Table24232567891011121314151620192122[HARGA JUAL]*Table24232567891011121314151620192122[TERJUAL])-(Table24232567891011121314151620192122[HARGA POKOK]*Table24232567891011121314151620192122[TERJUAL])</f>
        <v>21000</v>
      </c>
      <c r="J72" s="143">
        <f>(Table24232567891011121314151620192122[HARGA JUAL]*Table24232567891011121314151620192122[TERJUAL])</f>
        <v>48000</v>
      </c>
      <c r="K72" s="143">
        <f>Table24232567891011121314151620192122[HARGA JUAL]*Table24232567891011121314151620192122[SISA]</f>
        <v>3136000</v>
      </c>
      <c r="L72" s="144">
        <f>Table24232567891011121314151620192122[HARGA POKOK]*Table24232567891011121314151620192122[STOK]</f>
        <v>1791000</v>
      </c>
      <c r="M72" s="144">
        <f>Table24232567891011121314151620192122[HARGA JUAL]*Table24232567891011121314151620192122[STOK]</f>
        <v>3184000</v>
      </c>
      <c r="N72" s="145" t="s">
        <v>292</v>
      </c>
    </row>
    <row r="73" spans="1:14" x14ac:dyDescent="0.25">
      <c r="A73" s="137">
        <v>65</v>
      </c>
      <c r="B73" s="138" t="s">
        <v>206</v>
      </c>
      <c r="C73" s="138" t="s">
        <v>207</v>
      </c>
      <c r="D73" s="140">
        <v>12000</v>
      </c>
      <c r="E73" s="140">
        <v>18000</v>
      </c>
      <c r="F73" s="141">
        <v>5</v>
      </c>
      <c r="G73" s="142"/>
      <c r="H73" s="141">
        <f>(Table24232567891011121314151620192122[[#This Row],[STOK]]-Table24232567891011121314151620192122[[#This Row],[TERJUAL]])</f>
        <v>5</v>
      </c>
      <c r="I73" s="143">
        <f>(Table24232567891011121314151620192122[HARGA JUAL]*Table24232567891011121314151620192122[TERJUAL])-(Table24232567891011121314151620192122[HARGA POKOK]*Table24232567891011121314151620192122[TERJUAL])</f>
        <v>0</v>
      </c>
      <c r="J73" s="143">
        <f>(Table24232567891011121314151620192122[HARGA JUAL]*Table24232567891011121314151620192122[TERJUAL])</f>
        <v>0</v>
      </c>
      <c r="K73" s="143">
        <f>Table24232567891011121314151620192122[HARGA JUAL]*Table24232567891011121314151620192122[SISA]</f>
        <v>90000</v>
      </c>
      <c r="L73" s="144">
        <f>Table24232567891011121314151620192122[HARGA POKOK]*Table24232567891011121314151620192122[STOK]</f>
        <v>60000</v>
      </c>
      <c r="M73" s="144">
        <f>Table24232567891011121314151620192122[HARGA JUAL]*Table24232567891011121314151620192122[STOK]</f>
        <v>90000</v>
      </c>
      <c r="N73" s="145"/>
    </row>
    <row r="74" spans="1:14" x14ac:dyDescent="0.25">
      <c r="A74" s="137">
        <v>66</v>
      </c>
      <c r="B74" s="138" t="s">
        <v>206</v>
      </c>
      <c r="C74" s="138" t="s">
        <v>208</v>
      </c>
      <c r="D74" s="140">
        <v>21000</v>
      </c>
      <c r="E74" s="140">
        <v>32000</v>
      </c>
      <c r="F74" s="141">
        <v>7</v>
      </c>
      <c r="G74" s="142"/>
      <c r="H74" s="141">
        <f>(Table24232567891011121314151620192122[[#This Row],[STOK]]-Table24232567891011121314151620192122[[#This Row],[TERJUAL]])</f>
        <v>7</v>
      </c>
      <c r="I74" s="143">
        <f>(Table24232567891011121314151620192122[HARGA JUAL]*Table24232567891011121314151620192122[TERJUAL])-(Table24232567891011121314151620192122[HARGA POKOK]*Table24232567891011121314151620192122[TERJUAL])</f>
        <v>0</v>
      </c>
      <c r="J74" s="143">
        <f>(Table24232567891011121314151620192122[HARGA JUAL]*Table24232567891011121314151620192122[TERJUAL])</f>
        <v>0</v>
      </c>
      <c r="K74" s="143">
        <f>Table24232567891011121314151620192122[HARGA JUAL]*Table24232567891011121314151620192122[SISA]</f>
        <v>224000</v>
      </c>
      <c r="L74" s="144">
        <f>Table24232567891011121314151620192122[HARGA POKOK]*Table24232567891011121314151620192122[STOK]</f>
        <v>147000</v>
      </c>
      <c r="M74" s="144">
        <f>Table24232567891011121314151620192122[HARGA JUAL]*Table24232567891011121314151620192122[STOK]</f>
        <v>224000</v>
      </c>
      <c r="N74" s="145"/>
    </row>
    <row r="75" spans="1:14" x14ac:dyDescent="0.25">
      <c r="A75" s="137">
        <v>67</v>
      </c>
      <c r="B75" s="138" t="s">
        <v>209</v>
      </c>
      <c r="C75" s="138" t="s">
        <v>210</v>
      </c>
      <c r="D75" s="140">
        <v>20000</v>
      </c>
      <c r="E75" s="140">
        <v>40000</v>
      </c>
      <c r="F75" s="141">
        <v>2</v>
      </c>
      <c r="G75" s="142"/>
      <c r="H75" s="141">
        <f>(Table24232567891011121314151620192122[[#This Row],[STOK]]-Table24232567891011121314151620192122[[#This Row],[TERJUAL]])</f>
        <v>2</v>
      </c>
      <c r="I75" s="143">
        <f>(Table24232567891011121314151620192122[HARGA JUAL]*Table24232567891011121314151620192122[TERJUAL])-(Table24232567891011121314151620192122[HARGA POKOK]*Table24232567891011121314151620192122[TERJUAL])</f>
        <v>0</v>
      </c>
      <c r="J75" s="143">
        <f>(Table24232567891011121314151620192122[HARGA JUAL]*Table24232567891011121314151620192122[TERJUAL])</f>
        <v>0</v>
      </c>
      <c r="K75" s="143">
        <f>Table24232567891011121314151620192122[HARGA JUAL]*Table24232567891011121314151620192122[SISA]</f>
        <v>80000</v>
      </c>
      <c r="L75" s="144">
        <f>Table24232567891011121314151620192122[HARGA POKOK]*Table24232567891011121314151620192122[STOK]</f>
        <v>40000</v>
      </c>
      <c r="M75" s="144">
        <f>Table24232567891011121314151620192122[HARGA JUAL]*Table24232567891011121314151620192122[STOK]</f>
        <v>80000</v>
      </c>
      <c r="N75" s="145"/>
    </row>
    <row r="76" spans="1:14" x14ac:dyDescent="0.25">
      <c r="A76" s="137">
        <v>68</v>
      </c>
      <c r="B76" s="138" t="s">
        <v>209</v>
      </c>
      <c r="C76" s="138" t="s">
        <v>211</v>
      </c>
      <c r="D76" s="140">
        <v>26000</v>
      </c>
      <c r="E76" s="140">
        <v>45000</v>
      </c>
      <c r="F76" s="141">
        <v>3</v>
      </c>
      <c r="G76" s="142">
        <v>2</v>
      </c>
      <c r="H76" s="141">
        <f>(Table24232567891011121314151620192122[[#This Row],[STOK]]-Table24232567891011121314151620192122[[#This Row],[TERJUAL]])</f>
        <v>1</v>
      </c>
      <c r="I76" s="143">
        <f>(Table24232567891011121314151620192122[HARGA JUAL]*Table24232567891011121314151620192122[TERJUAL])-(Table24232567891011121314151620192122[HARGA POKOK]*Table24232567891011121314151620192122[TERJUAL])</f>
        <v>38000</v>
      </c>
      <c r="J76" s="143">
        <f>(Table24232567891011121314151620192122[HARGA JUAL]*Table24232567891011121314151620192122[TERJUAL])</f>
        <v>90000</v>
      </c>
      <c r="K76" s="143">
        <f>Table24232567891011121314151620192122[HARGA JUAL]*Table24232567891011121314151620192122[SISA]</f>
        <v>45000</v>
      </c>
      <c r="L76" s="144">
        <f>Table24232567891011121314151620192122[HARGA POKOK]*Table24232567891011121314151620192122[STOK]</f>
        <v>78000</v>
      </c>
      <c r="M76" s="144">
        <f>Table24232567891011121314151620192122[HARGA JUAL]*Table24232567891011121314151620192122[STOK]</f>
        <v>135000</v>
      </c>
      <c r="N76" s="145"/>
    </row>
    <row r="77" spans="1:14" x14ac:dyDescent="0.25">
      <c r="A77" s="137">
        <v>69</v>
      </c>
      <c r="B77" s="138" t="s">
        <v>212</v>
      </c>
      <c r="C77" s="138" t="s">
        <v>213</v>
      </c>
      <c r="D77" s="140">
        <v>600000</v>
      </c>
      <c r="E77" s="140">
        <v>800000</v>
      </c>
      <c r="F77" s="141">
        <v>1</v>
      </c>
      <c r="G77" s="142"/>
      <c r="H77" s="141">
        <f>(Table24232567891011121314151620192122[[#This Row],[STOK]]-Table24232567891011121314151620192122[[#This Row],[TERJUAL]])</f>
        <v>1</v>
      </c>
      <c r="I77" s="143">
        <f>(Table24232567891011121314151620192122[HARGA JUAL]*Table24232567891011121314151620192122[TERJUAL])-(Table24232567891011121314151620192122[HARGA POKOK]*Table24232567891011121314151620192122[TERJUAL])</f>
        <v>0</v>
      </c>
      <c r="J77" s="143">
        <f>(Table24232567891011121314151620192122[HARGA JUAL]*Table24232567891011121314151620192122[TERJUAL])</f>
        <v>0</v>
      </c>
      <c r="K77" s="143">
        <f>Table24232567891011121314151620192122[HARGA JUAL]*Table24232567891011121314151620192122[SISA]</f>
        <v>800000</v>
      </c>
      <c r="L77" s="144">
        <f>Table24232567891011121314151620192122[HARGA POKOK]*Table24232567891011121314151620192122[STOK]</f>
        <v>600000</v>
      </c>
      <c r="M77" s="144">
        <f>Table24232567891011121314151620192122[HARGA JUAL]*Table24232567891011121314151620192122[STOK]</f>
        <v>800000</v>
      </c>
      <c r="N77" s="145"/>
    </row>
    <row r="78" spans="1:14" x14ac:dyDescent="0.25">
      <c r="A78" s="192">
        <v>70</v>
      </c>
      <c r="B78" s="193" t="s">
        <v>194</v>
      </c>
      <c r="C78" s="193" t="s">
        <v>194</v>
      </c>
      <c r="D78" s="194">
        <v>30000</v>
      </c>
      <c r="E78" s="194">
        <v>40000</v>
      </c>
      <c r="F78" s="195">
        <v>9</v>
      </c>
      <c r="G78" s="196"/>
      <c r="H78" s="195">
        <f>(Table24232567891011121314151620192122[[#This Row],[STOK]]-Table24232567891011121314151620192122[[#This Row],[TERJUAL]])</f>
        <v>9</v>
      </c>
      <c r="I78" s="197">
        <f>(Table24232567891011121314151620192122[HARGA JUAL]*Table24232567891011121314151620192122[TERJUAL])-(Table24232567891011121314151620192122[HARGA POKOK]*Table24232567891011121314151620192122[TERJUAL])</f>
        <v>0</v>
      </c>
      <c r="J78" s="197">
        <f>(Table24232567891011121314151620192122[HARGA JUAL]*Table24232567891011121314151620192122[TERJUAL])</f>
        <v>0</v>
      </c>
      <c r="K78" s="197"/>
      <c r="L78" s="198"/>
      <c r="M78" s="198"/>
      <c r="N78" s="199"/>
    </row>
    <row r="79" spans="1:14" x14ac:dyDescent="0.25">
      <c r="A79" s="137">
        <v>71</v>
      </c>
      <c r="B79" s="146" t="s">
        <v>195</v>
      </c>
      <c r="C79" s="146" t="s">
        <v>195</v>
      </c>
      <c r="D79" s="147">
        <v>30000</v>
      </c>
      <c r="E79" s="147">
        <v>40000</v>
      </c>
      <c r="F79" s="148">
        <v>14</v>
      </c>
      <c r="G79" s="149"/>
      <c r="H79" s="148">
        <f>(Table24232567891011121314151620192122[[#This Row],[STOK]]-Table24232567891011121314151620192122[[#This Row],[TERJUAL]])</f>
        <v>14</v>
      </c>
      <c r="I79" s="150">
        <f>(Table24232567891011121314151620192122[HARGA JUAL]*Table24232567891011121314151620192122[TERJUAL])-(Table24232567891011121314151620192122[HARGA POKOK]*Table24232567891011121314151620192122[TERJUAL])</f>
        <v>0</v>
      </c>
      <c r="J79" s="150">
        <f>(Table24232567891011121314151620192122[HARGA JUAL]*Table24232567891011121314151620192122[TERJUAL])</f>
        <v>0</v>
      </c>
      <c r="K79" s="150">
        <f>Table24232567891011121314151620192122[HARGA JUAL]*Table24232567891011121314151620192122[SISA]</f>
        <v>560000</v>
      </c>
      <c r="L79" s="151">
        <f>Table24232567891011121314151620192122[HARGA POKOK]*Table24232567891011121314151620192122[STOK]</f>
        <v>420000</v>
      </c>
      <c r="M79" s="151">
        <f>Table24232567891011121314151620192122[HARGA JUAL]*Table24232567891011121314151620192122[STOK]</f>
        <v>560000</v>
      </c>
      <c r="N79" s="152"/>
    </row>
    <row r="80" spans="1:14" x14ac:dyDescent="0.25">
      <c r="A80" s="192">
        <v>72</v>
      </c>
      <c r="B80" s="193" t="s">
        <v>215</v>
      </c>
      <c r="C80" s="193" t="s">
        <v>215</v>
      </c>
      <c r="D80" s="194">
        <v>310000</v>
      </c>
      <c r="E80" s="194">
        <v>410000</v>
      </c>
      <c r="F80" s="195">
        <v>1</v>
      </c>
      <c r="G80" s="196"/>
      <c r="H80" s="195">
        <f>(Table24232567891011121314151620192122[[#This Row],[STOK]]-Table24232567891011121314151620192122[[#This Row],[TERJUAL]])</f>
        <v>1</v>
      </c>
      <c r="I80" s="197">
        <f>(Table24232567891011121314151620192122[HARGA JUAL]*Table24232567891011121314151620192122[TERJUAL])-(Table24232567891011121314151620192122[HARGA POKOK]*Table24232567891011121314151620192122[TERJUAL])</f>
        <v>0</v>
      </c>
      <c r="J80" s="197">
        <f>(Table24232567891011121314151620192122[HARGA JUAL]*Table24232567891011121314151620192122[TERJUAL])</f>
        <v>0</v>
      </c>
      <c r="K80" s="197">
        <f>Table24232567891011121314151620192122[HARGA JUAL]*Table24232567891011121314151620192122[SISA]</f>
        <v>410000</v>
      </c>
      <c r="L80" s="198">
        <f>Table24232567891011121314151620192122[HARGA POKOK]*Table24232567891011121314151620192122[STOK]</f>
        <v>310000</v>
      </c>
      <c r="M80" s="198">
        <f>Table24232567891011121314151620192122[HARGA JUAL]*Table24232567891011121314151620192122[STOK]</f>
        <v>410000</v>
      </c>
      <c r="N80" s="199"/>
    </row>
    <row r="81" spans="1:15" s="180" customFormat="1" x14ac:dyDescent="0.25">
      <c r="A81" s="137">
        <v>73</v>
      </c>
      <c r="B81" s="153" t="s">
        <v>212</v>
      </c>
      <c r="C81" s="153" t="s">
        <v>213</v>
      </c>
      <c r="D81" s="154">
        <v>6000</v>
      </c>
      <c r="E81" s="154">
        <v>8000</v>
      </c>
      <c r="F81" s="155"/>
      <c r="G81" s="178"/>
      <c r="H81" s="155">
        <f>(Table24232567891011121314151620192122[[#This Row],[STOK]]-Table24232567891011121314151620192122[[#This Row],[TERJUAL]])</f>
        <v>0</v>
      </c>
      <c r="I81" s="157">
        <f>(Table24232567891011121314151620192122[HARGA JUAL]*Table24232567891011121314151620192122[TERJUAL])-(Table24232567891011121314151620192122[HARGA POKOK]*Table24232567891011121314151620192122[TERJUAL])</f>
        <v>0</v>
      </c>
      <c r="J81" s="157">
        <f>(Table24232567891011121314151620192122[HARGA JUAL]*Table24232567891011121314151620192122[TERJUAL])</f>
        <v>0</v>
      </c>
      <c r="K81" s="157"/>
      <c r="L81" s="158"/>
      <c r="M81" s="158"/>
      <c r="N81" s="179"/>
      <c r="O81" s="201"/>
    </row>
    <row r="82" spans="1:15" s="180" customFormat="1" x14ac:dyDescent="0.25">
      <c r="A82" s="137">
        <v>74</v>
      </c>
      <c r="B82" s="153" t="s">
        <v>71</v>
      </c>
      <c r="C82" s="153" t="s">
        <v>194</v>
      </c>
      <c r="D82" s="154">
        <v>1200</v>
      </c>
      <c r="E82" s="154">
        <v>2000</v>
      </c>
      <c r="F82" s="155"/>
      <c r="G82" s="156">
        <v>10</v>
      </c>
      <c r="H82" s="155">
        <f>(Table24232567891011121314151620192122[[#This Row],[STOK]]-Table24232567891011121314151620192122[[#This Row],[TERJUAL]])</f>
        <v>-10</v>
      </c>
      <c r="I82" s="157">
        <f>(Table24232567891011121314151620192122[HARGA JUAL]*Table24232567891011121314151620192122[TERJUAL])-(Table24232567891011121314151620192122[HARGA POKOK]*Table24232567891011121314151620192122[TERJUAL])</f>
        <v>8000</v>
      </c>
      <c r="J82" s="157">
        <f>(Table24232567891011121314151620192122[HARGA JUAL]*Table24232567891011121314151620192122[TERJUAL])</f>
        <v>20000</v>
      </c>
      <c r="K82" s="157"/>
      <c r="L82" s="158"/>
      <c r="M82" s="158"/>
      <c r="N82" s="179"/>
      <c r="O82" s="201"/>
    </row>
    <row r="83" spans="1:15" s="180" customFormat="1" x14ac:dyDescent="0.25">
      <c r="A83" s="137">
        <v>75</v>
      </c>
      <c r="B83" s="153" t="s">
        <v>71</v>
      </c>
      <c r="C83" s="153" t="s">
        <v>195</v>
      </c>
      <c r="D83" s="154">
        <v>700</v>
      </c>
      <c r="E83" s="154">
        <v>1500</v>
      </c>
      <c r="F83" s="155"/>
      <c r="G83" s="156">
        <v>15</v>
      </c>
      <c r="H83" s="155">
        <f>(Table24232567891011121314151620192122[[#This Row],[STOK]]-Table24232567891011121314151620192122[[#This Row],[TERJUAL]])</f>
        <v>-15</v>
      </c>
      <c r="I83" s="157">
        <f>(Table24232567891011121314151620192122[HARGA JUAL]*Table24232567891011121314151620192122[TERJUAL])-(Table24232567891011121314151620192122[HARGA POKOK]*Table24232567891011121314151620192122[TERJUAL])</f>
        <v>12000</v>
      </c>
      <c r="J83" s="157">
        <f>(Table24232567891011121314151620192122[HARGA JUAL]*Table24232567891011121314151620192122[TERJUAL])</f>
        <v>22500</v>
      </c>
      <c r="K83" s="157"/>
      <c r="L83" s="158"/>
      <c r="M83" s="158"/>
      <c r="N83" s="179"/>
      <c r="O83" s="201"/>
    </row>
    <row r="84" spans="1:15" s="201" customFormat="1" x14ac:dyDescent="0.25">
      <c r="A84" s="261">
        <v>76</v>
      </c>
      <c r="B84" s="256" t="s">
        <v>68</v>
      </c>
      <c r="C84" s="256" t="s">
        <v>69</v>
      </c>
      <c r="D84" s="268">
        <v>8200</v>
      </c>
      <c r="E84" s="262">
        <v>11000</v>
      </c>
      <c r="F84" s="263"/>
      <c r="G84" s="269">
        <v>1190</v>
      </c>
      <c r="H84" s="263">
        <f>(Table24232567891011121314151620192122[[#This Row],[STOK]]-Table24232567891011121314151620192122[[#This Row],[TERJUAL]])</f>
        <v>-1190</v>
      </c>
      <c r="I84" s="265">
        <f>(Table24232567891011121314151620192122[HARGA JUAL]*Table24232567891011121314151620192122[TERJUAL])-(Table24232567891011121314151620192122[HARGA POKOK]*Table24232567891011121314151620192122[TERJUAL])</f>
        <v>3332000</v>
      </c>
      <c r="J84" s="265">
        <f>(Table24232567891011121314151620192122[HARGA JUAL]*Table24232567891011121314151620192122[TERJUAL])</f>
        <v>13090000</v>
      </c>
      <c r="K84" s="265"/>
      <c r="L84" s="266"/>
      <c r="M84" s="266"/>
      <c r="N84" s="267"/>
    </row>
    <row r="85" spans="1:15" s="180" customFormat="1" x14ac:dyDescent="0.25">
      <c r="A85" s="137">
        <v>77</v>
      </c>
      <c r="B85" s="153" t="s">
        <v>173</v>
      </c>
      <c r="C85" s="153" t="s">
        <v>174</v>
      </c>
      <c r="D85" s="159">
        <v>9040</v>
      </c>
      <c r="E85" s="154">
        <v>12000</v>
      </c>
      <c r="F85" s="155"/>
      <c r="G85" s="156"/>
      <c r="H85" s="155">
        <f>(Table24232567891011121314151620192122[[#This Row],[STOK]]-Table24232567891011121314151620192122[[#This Row],[TERJUAL]])</f>
        <v>0</v>
      </c>
      <c r="I85" s="157">
        <f>(Table24232567891011121314151620192122[HARGA JUAL]*Table24232567891011121314151620192122[TERJUAL])-(Table24232567891011121314151620192122[HARGA POKOK]*Table24232567891011121314151620192122[TERJUAL])</f>
        <v>0</v>
      </c>
      <c r="J85" s="157">
        <f>(Table24232567891011121314151620192122[HARGA JUAL]*Table24232567891011121314151620192122[TERJUAL])</f>
        <v>0</v>
      </c>
      <c r="K85" s="157"/>
      <c r="L85" s="158"/>
      <c r="M85" s="158"/>
      <c r="N85" s="179"/>
      <c r="O85" s="201"/>
    </row>
    <row r="86" spans="1:15" s="180" customFormat="1" x14ac:dyDescent="0.25">
      <c r="A86" s="137">
        <v>78</v>
      </c>
      <c r="B86" s="153" t="s">
        <v>146</v>
      </c>
      <c r="C86" s="153" t="s">
        <v>152</v>
      </c>
      <c r="D86" s="159">
        <v>6200</v>
      </c>
      <c r="E86" s="154">
        <v>10000</v>
      </c>
      <c r="F86" s="155"/>
      <c r="G86" s="160"/>
      <c r="H86" s="155">
        <f>(Table24232567891011121314151620192122[[#This Row],[STOK]]-Table24232567891011121314151620192122[[#This Row],[TERJUAL]])</f>
        <v>0</v>
      </c>
      <c r="I86" s="157">
        <f>(Table24232567891011121314151620192122[HARGA JUAL]*Table24232567891011121314151620192122[TERJUAL])-(Table24232567891011121314151620192122[HARGA POKOK]*Table24232567891011121314151620192122[TERJUAL])</f>
        <v>0</v>
      </c>
      <c r="J86" s="157">
        <f>(Table24232567891011121314151620192122[HARGA JUAL]*Table24232567891011121314151620192122[TERJUAL])</f>
        <v>0</v>
      </c>
      <c r="K86" s="157"/>
      <c r="L86" s="158"/>
      <c r="M86" s="158"/>
      <c r="N86" s="179"/>
      <c r="O86" s="201"/>
    </row>
    <row r="87" spans="1:15" s="180" customFormat="1" x14ac:dyDescent="0.25">
      <c r="A87" s="137">
        <v>79</v>
      </c>
      <c r="B87" s="153" t="s">
        <v>321</v>
      </c>
      <c r="C87" s="153" t="s">
        <v>269</v>
      </c>
      <c r="D87" s="159">
        <v>9700</v>
      </c>
      <c r="E87" s="154">
        <v>12000</v>
      </c>
      <c r="F87" s="155"/>
      <c r="G87" s="160"/>
      <c r="H87" s="155">
        <f>(Table24232567891011121314151620192122[[#This Row],[STOK]]-Table24232567891011121314151620192122[[#This Row],[TERJUAL]])</f>
        <v>0</v>
      </c>
      <c r="I87" s="157">
        <f>(Table24232567891011121314151620192122[HARGA JUAL]*Table24232567891011121314151620192122[TERJUAL])-(Table24232567891011121314151620192122[HARGA POKOK]*Table24232567891011121314151620192122[TERJUAL])</f>
        <v>0</v>
      </c>
      <c r="J87" s="157">
        <f>(Table24232567891011121314151620192122[HARGA JUAL]*Table24232567891011121314151620192122[TERJUAL])</f>
        <v>0</v>
      </c>
      <c r="K87" s="157"/>
      <c r="L87" s="158"/>
      <c r="M87" s="158"/>
      <c r="N87" s="179"/>
      <c r="O87" s="201"/>
    </row>
    <row r="88" spans="1:15" s="180" customFormat="1" x14ac:dyDescent="0.25">
      <c r="A88" s="137">
        <v>80</v>
      </c>
      <c r="B88" s="167" t="s">
        <v>31</v>
      </c>
      <c r="C88" s="167" t="s">
        <v>282</v>
      </c>
      <c r="D88" s="168">
        <v>3000</v>
      </c>
      <c r="E88" s="169">
        <v>5000</v>
      </c>
      <c r="F88" s="170">
        <v>44</v>
      </c>
      <c r="G88" s="171">
        <v>1</v>
      </c>
      <c r="H88" s="172">
        <f>(Table24232567891011121314151620192122[[#This Row],[STOK]]-Table24232567891011121314151620192122[[#This Row],[TERJUAL]])</f>
        <v>43</v>
      </c>
      <c r="I88" s="173">
        <f>(Table24232567891011121314151620192122[HARGA JUAL]*Table24232567891011121314151620192122[TERJUAL])-(Table24232567891011121314151620192122[HARGA POKOK]*Table24232567891011121314151620192122[TERJUAL])</f>
        <v>2000</v>
      </c>
      <c r="J88" s="173">
        <f>(Table24232567891011121314151620192122[HARGA JUAL]*Table24232567891011121314151620192122[TERJUAL])</f>
        <v>5000</v>
      </c>
      <c r="K88" s="173"/>
      <c r="L88" s="174"/>
      <c r="M88" s="174"/>
      <c r="N88" s="181"/>
      <c r="O88" s="201"/>
    </row>
    <row r="89" spans="1:15" s="180" customFormat="1" x14ac:dyDescent="0.25">
      <c r="A89" s="255"/>
      <c r="B89" s="167" t="s">
        <v>31</v>
      </c>
      <c r="C89" s="167" t="s">
        <v>283</v>
      </c>
      <c r="D89" s="168">
        <v>3000</v>
      </c>
      <c r="E89" s="169">
        <v>5000</v>
      </c>
      <c r="F89" s="170">
        <v>22</v>
      </c>
      <c r="G89" s="171">
        <v>9</v>
      </c>
      <c r="H89" s="172">
        <f>(Table24232567891011121314151620192122[[#This Row],[STOK]]-Table24232567891011121314151620192122[[#This Row],[TERJUAL]])</f>
        <v>13</v>
      </c>
      <c r="I89" s="173">
        <f>(Table24232567891011121314151620192122[HARGA JUAL]*Table24232567891011121314151620192122[TERJUAL])-(Table24232567891011121314151620192122[HARGA POKOK]*Table24232567891011121314151620192122[TERJUAL])</f>
        <v>18000</v>
      </c>
      <c r="J89" s="173">
        <f>(Table24232567891011121314151620192122[HARGA JUAL]*Table24232567891011121314151620192122[TERJUAL])</f>
        <v>45000</v>
      </c>
      <c r="K89" s="173"/>
      <c r="L89" s="174">
        <f>Table24232567891011121314151620192122[HARGA POKOK]*Table24232567891011121314151620192122[STOK]</f>
        <v>66000</v>
      </c>
      <c r="M89" s="174">
        <f>Table24232567891011121314151620192122[HARGA JUAL]*Table24232567891011121314151620192122[STOK]</f>
        <v>110000</v>
      </c>
      <c r="N89" s="181"/>
      <c r="O89" s="201"/>
    </row>
    <row r="90" spans="1:15" s="180" customFormat="1" x14ac:dyDescent="0.25">
      <c r="A90" s="255"/>
      <c r="B90" s="167" t="s">
        <v>31</v>
      </c>
      <c r="C90" s="167" t="s">
        <v>284</v>
      </c>
      <c r="D90" s="168">
        <v>3000</v>
      </c>
      <c r="E90" s="169">
        <v>5000</v>
      </c>
      <c r="F90" s="170">
        <v>26</v>
      </c>
      <c r="G90" s="171">
        <v>6</v>
      </c>
      <c r="H90" s="172">
        <f>(Table24232567891011121314151620192122[[#This Row],[STOK]]-Table24232567891011121314151620192122[[#This Row],[TERJUAL]])</f>
        <v>20</v>
      </c>
      <c r="I90" s="173">
        <f>(Table24232567891011121314151620192122[HARGA JUAL]*Table24232567891011121314151620192122[TERJUAL])-(Table24232567891011121314151620192122[HARGA POKOK]*Table24232567891011121314151620192122[TERJUAL])</f>
        <v>12000</v>
      </c>
      <c r="J90" s="173">
        <f>(Table24232567891011121314151620192122[HARGA JUAL]*Table24232567891011121314151620192122[TERJUAL])</f>
        <v>30000</v>
      </c>
      <c r="K90" s="173"/>
      <c r="L90" s="174">
        <f>Table24232567891011121314151620192122[HARGA POKOK]*Table24232567891011121314151620192122[STOK]</f>
        <v>78000</v>
      </c>
      <c r="M90" s="174">
        <f>Table24232567891011121314151620192122[HARGA JUAL]*Table24232567891011121314151620192122[STOK]</f>
        <v>130000</v>
      </c>
      <c r="N90" s="181"/>
      <c r="O90" s="201"/>
    </row>
    <row r="91" spans="1:15" s="180" customFormat="1" x14ac:dyDescent="0.25">
      <c r="A91" s="255"/>
      <c r="B91" s="167" t="s">
        <v>31</v>
      </c>
      <c r="C91" s="167" t="s">
        <v>307</v>
      </c>
      <c r="D91" s="168">
        <v>2000</v>
      </c>
      <c r="E91" s="169">
        <v>5000</v>
      </c>
      <c r="F91" s="170">
        <v>47</v>
      </c>
      <c r="G91" s="171">
        <v>12</v>
      </c>
      <c r="H91" s="172">
        <f>(Table24232567891011121314151620192122[[#This Row],[STOK]]-Table24232567891011121314151620192122[[#This Row],[TERJUAL]])</f>
        <v>35</v>
      </c>
      <c r="I91" s="173">
        <f>(Table24232567891011121314151620192122[HARGA JUAL]*Table24232567891011121314151620192122[TERJUAL])-(Table24232567891011121314151620192122[HARGA POKOK]*Table24232567891011121314151620192122[TERJUAL])</f>
        <v>36000</v>
      </c>
      <c r="J91" s="173">
        <f>(Table24232567891011121314151620192122[HARGA JUAL]*Table24232567891011121314151620192122[TERJUAL])</f>
        <v>60000</v>
      </c>
      <c r="K91" s="173">
        <f>Table24232567891011121314151620192122[HARGA JUAL]*Table24232567891011121314151620192122[SISA]</f>
        <v>175000</v>
      </c>
      <c r="L91" s="174">
        <f>Table24232567891011121314151620192122[HARGA POKOK]*Table24232567891011121314151620192122[STOK]</f>
        <v>94000</v>
      </c>
      <c r="M91" s="174">
        <f>Table24232567891011121314151620192122[HARGA JUAL]*Table24232567891011121314151620192122[STOK]</f>
        <v>235000</v>
      </c>
      <c r="N91" s="181"/>
      <c r="O91" s="201"/>
    </row>
    <row r="92" spans="1:15" s="180" customFormat="1" x14ac:dyDescent="0.25">
      <c r="A92" s="255"/>
      <c r="B92" s="167" t="s">
        <v>308</v>
      </c>
      <c r="C92" s="167" t="s">
        <v>205</v>
      </c>
      <c r="D92" s="168">
        <v>45000</v>
      </c>
      <c r="E92" s="169">
        <v>50000</v>
      </c>
      <c r="F92" s="170"/>
      <c r="G92" s="171"/>
      <c r="H92" s="172">
        <f>(Table24232567891011121314151620192122[[#This Row],[STOK]]-Table24232567891011121314151620192122[[#This Row],[TERJUAL]])</f>
        <v>0</v>
      </c>
      <c r="I92" s="173">
        <f>(Table24232567891011121314151620192122[HARGA JUAL]*Table24232567891011121314151620192122[TERJUAL])-(Table24232567891011121314151620192122[HARGA POKOK]*Table24232567891011121314151620192122[TERJUAL])</f>
        <v>0</v>
      </c>
      <c r="J92" s="173">
        <f>(Table24232567891011121314151620192122[HARGA JUAL]*Table24232567891011121314151620192122[TERJUAL])</f>
        <v>0</v>
      </c>
      <c r="K92" s="173">
        <f>Table24232567891011121314151620192122[HARGA JUAL]*Table24232567891011121314151620192122[SISA]</f>
        <v>0</v>
      </c>
      <c r="L92" s="174">
        <f>Table24232567891011121314151620192122[HARGA POKOK]*Table24232567891011121314151620192122[STOK]</f>
        <v>0</v>
      </c>
      <c r="M92" s="174">
        <f>Table24232567891011121314151620192122[HARGA JUAL]*Table24232567891011121314151620192122[STOK]</f>
        <v>0</v>
      </c>
      <c r="N92" s="181"/>
      <c r="O92" s="201"/>
    </row>
    <row r="93" spans="1:15" s="180" customFormat="1" x14ac:dyDescent="0.25">
      <c r="A93" s="255"/>
      <c r="B93" s="167" t="s">
        <v>331</v>
      </c>
      <c r="C93" s="167" t="s">
        <v>332</v>
      </c>
      <c r="D93" s="168">
        <v>85000</v>
      </c>
      <c r="E93" s="169">
        <v>115000</v>
      </c>
      <c r="F93" s="170">
        <v>16</v>
      </c>
      <c r="G93" s="171"/>
      <c r="H93" s="172">
        <f>(Table24232567891011121314151620192122[[#This Row],[STOK]]-Table24232567891011121314151620192122[[#This Row],[TERJUAL]])</f>
        <v>16</v>
      </c>
      <c r="I93" s="173">
        <f>(Table24232567891011121314151620192122[HARGA JUAL]*Table24232567891011121314151620192122[TERJUAL])-(Table24232567891011121314151620192122[HARGA POKOK]*Table24232567891011121314151620192122[TERJUAL])</f>
        <v>0</v>
      </c>
      <c r="J93" s="173">
        <f>(Table24232567891011121314151620192122[HARGA JUAL]*Table24232567891011121314151620192122[TERJUAL])</f>
        <v>0</v>
      </c>
      <c r="K93" s="173">
        <f>Table24232567891011121314151620192122[HARGA JUAL]*Table24232567891011121314151620192122[SISA]</f>
        <v>1840000</v>
      </c>
      <c r="L93" s="174">
        <f>Table24232567891011121314151620192122[HARGA POKOK]*Table24232567891011121314151620192122[STOK]</f>
        <v>1360000</v>
      </c>
      <c r="M93" s="174">
        <f>Table24232567891011121314151620192122[HARGA JUAL]*Table24232567891011121314151620192122[STOK]</f>
        <v>1840000</v>
      </c>
      <c r="N93" s="181"/>
      <c r="O93" s="201"/>
    </row>
    <row r="94" spans="1:15" ht="18.75" x14ac:dyDescent="0.25">
      <c r="A94" s="404" t="s">
        <v>8</v>
      </c>
      <c r="B94" s="404"/>
      <c r="C94" s="404"/>
      <c r="D94" s="404"/>
      <c r="E94" s="404"/>
      <c r="F94" s="39"/>
      <c r="G94" s="39"/>
      <c r="H94" s="40"/>
      <c r="I94" s="175">
        <f>SUM(I5:I93)</f>
        <v>13459900</v>
      </c>
      <c r="J94" s="176">
        <f>SUM(J5:J93)</f>
        <v>66075500</v>
      </c>
      <c r="K94" s="41">
        <f>SUBTOTAL(109,Table24232567891011121314151620192122[TOTAL HARGA SISA BARANG])</f>
        <v>238418000</v>
      </c>
      <c r="L94" s="177">
        <f>SUM(L5:L93)</f>
        <v>233478100</v>
      </c>
      <c r="M94" s="42">
        <f>SUM(M5:M71)</f>
        <v>283723000</v>
      </c>
      <c r="N94" s="145"/>
    </row>
    <row r="95" spans="1:15" x14ac:dyDescent="0.25">
      <c r="B95" s="1"/>
      <c r="C95" s="3"/>
      <c r="G95" s="1"/>
      <c r="H95" s="11"/>
      <c r="I95" s="6"/>
      <c r="J95" s="6"/>
      <c r="K95" s="6"/>
      <c r="L95" s="1"/>
      <c r="M95" s="1"/>
    </row>
    <row r="96" spans="1:15" x14ac:dyDescent="0.25">
      <c r="A96" s="165"/>
      <c r="B96" s="28"/>
      <c r="C96" s="28"/>
      <c r="E96" s="386" t="s">
        <v>304</v>
      </c>
      <c r="F96" s="386"/>
      <c r="G96" s="386"/>
      <c r="H96" s="386"/>
      <c r="I96" s="386"/>
      <c r="J96" s="386"/>
      <c r="K96" s="316"/>
      <c r="L96" s="1"/>
      <c r="M96" s="1"/>
    </row>
    <row r="97" spans="1:13" x14ac:dyDescent="0.25">
      <c r="A97" s="165" t="s">
        <v>198</v>
      </c>
      <c r="B97" s="28"/>
      <c r="C97" s="28"/>
      <c r="E97" s="161"/>
      <c r="F97" s="161"/>
      <c r="G97" s="387"/>
      <c r="H97" s="387"/>
      <c r="I97" s="28"/>
      <c r="J97" s="28"/>
      <c r="K97" s="28"/>
      <c r="L97" s="7"/>
    </row>
    <row r="98" spans="1:13" x14ac:dyDescent="0.25">
      <c r="A98" s="165" t="s">
        <v>199</v>
      </c>
      <c r="B98" s="1"/>
      <c r="C98" s="3"/>
      <c r="E98" s="161"/>
      <c r="F98" s="161"/>
      <c r="G98" s="94"/>
      <c r="H98" s="94"/>
      <c r="I98" s="28"/>
      <c r="J98" s="28"/>
      <c r="K98" s="28"/>
      <c r="L98" s="28"/>
    </row>
    <row r="99" spans="1:13" x14ac:dyDescent="0.25">
      <c r="A99" s="165" t="s">
        <v>200</v>
      </c>
      <c r="E99" s="43" t="s">
        <v>82</v>
      </c>
      <c r="F99" s="44"/>
      <c r="G99" s="390">
        <f>SUBTOTAL(109,Table24232567891011121314151620192122[TOTAL H. B. LAKU TERJUAL])</f>
        <v>66075500</v>
      </c>
      <c r="H99" s="390"/>
      <c r="I99" s="390"/>
      <c r="J99" s="43"/>
      <c r="K99" s="7"/>
      <c r="L99" s="27"/>
      <c r="M99" s="1"/>
    </row>
    <row r="100" spans="1:13" x14ac:dyDescent="0.25">
      <c r="A100" s="165" t="s">
        <v>350</v>
      </c>
      <c r="C100" s="1"/>
      <c r="E100" s="43"/>
      <c r="F100" s="44"/>
      <c r="G100" s="315"/>
      <c r="H100" s="315"/>
      <c r="I100" s="315"/>
      <c r="J100" s="43"/>
      <c r="K100" s="7"/>
      <c r="L100" s="27"/>
      <c r="M100" s="1"/>
    </row>
    <row r="101" spans="1:13" x14ac:dyDescent="0.25">
      <c r="A101" s="407" t="s">
        <v>0</v>
      </c>
      <c r="B101" s="406" t="s">
        <v>275</v>
      </c>
      <c r="C101" s="406"/>
      <c r="E101" s="43" t="s">
        <v>83</v>
      </c>
      <c r="F101" s="45" t="s">
        <v>84</v>
      </c>
      <c r="G101" s="391">
        <v>551000</v>
      </c>
      <c r="H101" s="391"/>
      <c r="I101" s="391"/>
      <c r="J101" s="43"/>
      <c r="K101" s="7"/>
      <c r="L101" s="27"/>
      <c r="M101" s="1"/>
    </row>
    <row r="102" spans="1:13" x14ac:dyDescent="0.25">
      <c r="A102" s="407"/>
      <c r="B102" s="225" t="s">
        <v>276</v>
      </c>
      <c r="C102" s="228" t="s">
        <v>277</v>
      </c>
      <c r="E102" s="43" t="s">
        <v>8</v>
      </c>
      <c r="F102" s="43"/>
      <c r="G102" s="392">
        <v>65524500</v>
      </c>
      <c r="H102" s="392"/>
      <c r="I102" s="392"/>
      <c r="J102" s="43"/>
      <c r="K102" s="7"/>
      <c r="L102" s="27"/>
      <c r="M102" s="1"/>
    </row>
    <row r="103" spans="1:13" x14ac:dyDescent="0.25">
      <c r="A103" s="145"/>
      <c r="B103" s="228">
        <v>81</v>
      </c>
      <c r="C103" s="228">
        <v>23</v>
      </c>
      <c r="M103" s="1"/>
    </row>
    <row r="104" spans="1:13" x14ac:dyDescent="0.25">
      <c r="A104" s="7"/>
      <c r="B104" s="317"/>
      <c r="C104" s="317"/>
      <c r="M104" s="1"/>
    </row>
    <row r="105" spans="1:13" x14ac:dyDescent="0.25">
      <c r="A105" s="7"/>
      <c r="B105" s="317"/>
      <c r="C105" s="317"/>
      <c r="M105" s="1"/>
    </row>
    <row r="106" spans="1:13" x14ac:dyDescent="0.25">
      <c r="A106" s="7"/>
      <c r="B106" s="317"/>
      <c r="C106" s="317"/>
      <c r="M106" s="1"/>
    </row>
    <row r="107" spans="1:13" x14ac:dyDescent="0.25">
      <c r="A107" s="7"/>
      <c r="B107" s="317"/>
      <c r="C107" s="317"/>
      <c r="M107" s="1"/>
    </row>
    <row r="108" spans="1:13" x14ac:dyDescent="0.25">
      <c r="A108" s="7"/>
      <c r="B108" s="317"/>
      <c r="C108" s="317"/>
      <c r="M108" s="1"/>
    </row>
    <row r="109" spans="1:13" x14ac:dyDescent="0.25">
      <c r="A109" s="7"/>
      <c r="B109" s="317"/>
      <c r="C109" s="317"/>
      <c r="M109" s="1"/>
    </row>
    <row r="110" spans="1:13" x14ac:dyDescent="0.25">
      <c r="A110" s="7"/>
      <c r="B110" s="317"/>
      <c r="C110" s="317"/>
      <c r="M110" s="1"/>
    </row>
    <row r="111" spans="1:13" x14ac:dyDescent="0.25">
      <c r="A111" s="7"/>
      <c r="B111" s="317"/>
      <c r="C111" s="317"/>
      <c r="M111" s="1"/>
    </row>
    <row r="112" spans="1:13" x14ac:dyDescent="0.25">
      <c r="A112" s="7"/>
      <c r="B112" s="317"/>
      <c r="C112" s="317"/>
      <c r="M112" s="1"/>
    </row>
    <row r="113" spans="1:13" x14ac:dyDescent="0.25">
      <c r="A113" s="7"/>
      <c r="B113" s="317"/>
      <c r="C113" s="317"/>
      <c r="M113" s="1"/>
    </row>
    <row r="114" spans="1:13" x14ac:dyDescent="0.25">
      <c r="A114" s="7"/>
      <c r="B114" s="317"/>
      <c r="C114" s="317"/>
      <c r="M114" s="1"/>
    </row>
    <row r="115" spans="1:13" x14ac:dyDescent="0.25">
      <c r="A115" s="7"/>
      <c r="B115" s="317"/>
      <c r="C115" s="317"/>
      <c r="M115" s="1"/>
    </row>
    <row r="116" spans="1:13" x14ac:dyDescent="0.25">
      <c r="A116" s="7"/>
      <c r="B116" s="317"/>
      <c r="C116" s="317"/>
      <c r="M116" s="1"/>
    </row>
    <row r="117" spans="1:13" x14ac:dyDescent="0.25">
      <c r="A117" s="7"/>
      <c r="B117" s="317"/>
      <c r="C117" s="317"/>
      <c r="M117" s="1"/>
    </row>
    <row r="118" spans="1:13" x14ac:dyDescent="0.25">
      <c r="A118" s="7"/>
      <c r="B118" s="317"/>
      <c r="C118" s="317"/>
      <c r="M118" s="1"/>
    </row>
    <row r="119" spans="1:13" x14ac:dyDescent="0.25">
      <c r="A119" s="7"/>
      <c r="B119" s="317"/>
      <c r="C119" s="317"/>
      <c r="M119" s="1"/>
    </row>
    <row r="120" spans="1:13" x14ac:dyDescent="0.25">
      <c r="A120" s="7"/>
      <c r="B120" s="317"/>
      <c r="C120" s="317"/>
      <c r="M120" s="1"/>
    </row>
    <row r="121" spans="1:13" x14ac:dyDescent="0.25">
      <c r="A121" s="7"/>
      <c r="B121" s="317"/>
      <c r="C121" s="317"/>
      <c r="M121" s="1"/>
    </row>
    <row r="122" spans="1:13" x14ac:dyDescent="0.25">
      <c r="A122" s="7"/>
      <c r="B122" s="317"/>
      <c r="C122" s="317"/>
      <c r="M122" s="1"/>
    </row>
    <row r="123" spans="1:13" x14ac:dyDescent="0.25">
      <c r="A123" s="7"/>
      <c r="B123" s="317"/>
      <c r="C123" s="317"/>
      <c r="M123" s="1"/>
    </row>
    <row r="124" spans="1:13" x14ac:dyDescent="0.25">
      <c r="A124" s="7"/>
      <c r="B124" s="317"/>
      <c r="C124" s="317"/>
      <c r="M124" s="1"/>
    </row>
    <row r="125" spans="1:13" x14ac:dyDescent="0.25">
      <c r="A125" s="7"/>
      <c r="B125" s="317"/>
      <c r="C125" s="317"/>
      <c r="M125" s="1"/>
    </row>
    <row r="126" spans="1:13" x14ac:dyDescent="0.25">
      <c r="A126" s="7"/>
      <c r="B126" s="317"/>
      <c r="C126" s="317"/>
      <c r="M126" s="1"/>
    </row>
    <row r="127" spans="1:13" x14ac:dyDescent="0.25">
      <c r="A127" s="7"/>
      <c r="B127" s="317"/>
      <c r="C127" s="317"/>
      <c r="M127" s="1"/>
    </row>
    <row r="128" spans="1:13" x14ac:dyDescent="0.25">
      <c r="A128" s="7"/>
      <c r="B128" s="317"/>
      <c r="C128" s="317"/>
      <c r="M128" s="1"/>
    </row>
    <row r="129" spans="1:13" x14ac:dyDescent="0.25">
      <c r="A129" s="7"/>
      <c r="B129" s="317"/>
      <c r="C129" s="317"/>
      <c r="M129" s="1"/>
    </row>
    <row r="130" spans="1:13" x14ac:dyDescent="0.25">
      <c r="A130" s="7"/>
      <c r="B130" s="317"/>
      <c r="C130" s="317"/>
      <c r="M130" s="1"/>
    </row>
    <row r="131" spans="1:13" x14ac:dyDescent="0.25">
      <c r="A131" s="7"/>
      <c r="B131" s="317"/>
      <c r="C131" s="317"/>
      <c r="M131" s="1"/>
    </row>
    <row r="132" spans="1:13" x14ac:dyDescent="0.25">
      <c r="A132" s="7"/>
      <c r="B132" s="317"/>
      <c r="C132" s="317"/>
      <c r="M132" s="1"/>
    </row>
    <row r="133" spans="1:13" ht="18.75" x14ac:dyDescent="0.3">
      <c r="A133" s="360" t="s">
        <v>99</v>
      </c>
      <c r="B133" s="360"/>
      <c r="C133" s="360"/>
      <c r="D133" s="360"/>
    </row>
    <row r="134" spans="1:13" ht="18.75" x14ac:dyDescent="0.3">
      <c r="A134" s="360" t="s">
        <v>351</v>
      </c>
      <c r="B134" s="360"/>
      <c r="C134" s="360"/>
      <c r="D134" s="360"/>
    </row>
    <row r="135" spans="1:13" ht="18.75" x14ac:dyDescent="0.3">
      <c r="A135" s="360" t="s">
        <v>75</v>
      </c>
      <c r="B135" s="360"/>
      <c r="C135" s="360"/>
      <c r="D135" s="360"/>
    </row>
    <row r="136" spans="1:13" ht="15.75" x14ac:dyDescent="0.25">
      <c r="A136" s="356" t="s">
        <v>111</v>
      </c>
      <c r="B136" s="357"/>
      <c r="C136" s="356" t="s">
        <v>77</v>
      </c>
      <c r="D136" s="357"/>
      <c r="E136" s="7"/>
    </row>
    <row r="137" spans="1:13" ht="15.75" x14ac:dyDescent="0.25">
      <c r="A137" s="313" t="s">
        <v>103</v>
      </c>
      <c r="B137" s="314"/>
      <c r="C137" s="46"/>
      <c r="D137" s="203"/>
      <c r="E137" s="218"/>
    </row>
    <row r="138" spans="1:13" ht="15.75" x14ac:dyDescent="0.25">
      <c r="A138" s="354" t="s">
        <v>102</v>
      </c>
      <c r="B138" s="355"/>
      <c r="C138" s="46">
        <v>65524500</v>
      </c>
      <c r="D138" s="204"/>
      <c r="E138" s="219"/>
    </row>
    <row r="139" spans="1:13" ht="15.75" x14ac:dyDescent="0.25">
      <c r="A139" s="356" t="s">
        <v>104</v>
      </c>
      <c r="B139" s="357"/>
      <c r="C139" s="46"/>
      <c r="D139" s="203">
        <v>65524500</v>
      </c>
      <c r="E139" s="219"/>
    </row>
    <row r="140" spans="1:13" ht="15.75" x14ac:dyDescent="0.25">
      <c r="A140" s="350" t="s">
        <v>106</v>
      </c>
      <c r="B140" s="351"/>
      <c r="C140" s="46"/>
      <c r="D140" s="204">
        <v>52064600</v>
      </c>
      <c r="E140" s="219"/>
      <c r="F140" s="220"/>
      <c r="G140" s="220"/>
      <c r="H140" s="221"/>
      <c r="I140" s="222"/>
    </row>
    <row r="141" spans="1:13" ht="15.75" x14ac:dyDescent="0.25">
      <c r="A141" s="400" t="s">
        <v>162</v>
      </c>
      <c r="B141" s="401"/>
      <c r="C141" s="49"/>
      <c r="D141" s="205">
        <f>(D139-D140)</f>
        <v>13459900</v>
      </c>
      <c r="F141" s="7"/>
      <c r="G141" s="7"/>
      <c r="I141" s="186"/>
      <c r="L141" s="183"/>
    </row>
    <row r="142" spans="1:13" ht="15.75" x14ac:dyDescent="0.25">
      <c r="A142" s="346" t="s">
        <v>105</v>
      </c>
      <c r="B142" s="347"/>
      <c r="C142" s="46"/>
      <c r="D142" s="207"/>
      <c r="I142" s="186"/>
      <c r="L142" s="183"/>
    </row>
    <row r="143" spans="1:13" ht="15.75" x14ac:dyDescent="0.25">
      <c r="A143" s="348" t="s">
        <v>97</v>
      </c>
      <c r="B143" s="349"/>
      <c r="C143" s="46">
        <v>2000000</v>
      </c>
      <c r="D143" s="204"/>
      <c r="I143" s="187"/>
      <c r="L143" s="183"/>
    </row>
    <row r="144" spans="1:13" ht="15.75" x14ac:dyDescent="0.25">
      <c r="A144" s="350" t="s">
        <v>98</v>
      </c>
      <c r="B144" s="351"/>
      <c r="C144" s="46">
        <v>500000</v>
      </c>
      <c r="D144" s="204"/>
      <c r="L144" s="183"/>
    </row>
    <row r="145" spans="1:12" ht="15.75" x14ac:dyDescent="0.25">
      <c r="A145" s="350" t="s">
        <v>287</v>
      </c>
      <c r="B145" s="351"/>
      <c r="C145" s="46">
        <v>100000</v>
      </c>
      <c r="D145" s="204"/>
      <c r="L145" s="183"/>
    </row>
    <row r="146" spans="1:12" ht="15.75" x14ac:dyDescent="0.25">
      <c r="A146" s="350" t="s">
        <v>345</v>
      </c>
      <c r="B146" s="410"/>
      <c r="C146" s="46">
        <v>580000</v>
      </c>
      <c r="D146" s="204"/>
      <c r="L146" s="183"/>
    </row>
    <row r="147" spans="1:12" ht="15.75" x14ac:dyDescent="0.25">
      <c r="A147" s="350" t="s">
        <v>352</v>
      </c>
      <c r="B147" s="351"/>
      <c r="C147" s="46">
        <v>220000</v>
      </c>
      <c r="D147" s="204"/>
      <c r="L147" s="183"/>
    </row>
    <row r="148" spans="1:12" ht="15.75" x14ac:dyDescent="0.25">
      <c r="A148" s="414" t="s">
        <v>353</v>
      </c>
      <c r="B148" s="410"/>
      <c r="C148" s="46">
        <v>1000000</v>
      </c>
      <c r="D148" s="204"/>
      <c r="L148" s="183"/>
    </row>
    <row r="149" spans="1:12" ht="15.75" x14ac:dyDescent="0.25">
      <c r="A149" s="408" t="s">
        <v>288</v>
      </c>
      <c r="B149" s="409"/>
      <c r="C149" s="114">
        <v>182000</v>
      </c>
      <c r="D149" s="208"/>
    </row>
    <row r="150" spans="1:12" ht="15.75" x14ac:dyDescent="0.25">
      <c r="A150" s="352" t="s">
        <v>107</v>
      </c>
      <c r="B150" s="353"/>
      <c r="C150" s="51" t="s">
        <v>117</v>
      </c>
      <c r="D150" s="209">
        <f>SUM(C143:C149)</f>
        <v>4582000</v>
      </c>
    </row>
    <row r="151" spans="1:12" ht="15.75" x14ac:dyDescent="0.25">
      <c r="A151" s="344" t="s">
        <v>108</v>
      </c>
      <c r="B151" s="345"/>
      <c r="C151" s="51"/>
      <c r="D151" s="204"/>
    </row>
    <row r="152" spans="1:12" ht="15.75" x14ac:dyDescent="0.25">
      <c r="A152" s="346" t="s">
        <v>109</v>
      </c>
      <c r="B152" s="347"/>
      <c r="C152" s="48"/>
      <c r="D152" s="205">
        <f>(D141-D150)</f>
        <v>8877900</v>
      </c>
    </row>
    <row r="154" spans="1:12" x14ac:dyDescent="0.25">
      <c r="A154" s="228" t="s">
        <v>0</v>
      </c>
      <c r="B154" s="228" t="s">
        <v>248</v>
      </c>
      <c r="C154" s="228" t="s">
        <v>77</v>
      </c>
      <c r="D154" s="7"/>
    </row>
    <row r="155" spans="1:12" x14ac:dyDescent="0.25">
      <c r="A155" s="228">
        <v>1</v>
      </c>
      <c r="B155" s="225" t="s">
        <v>245</v>
      </c>
      <c r="C155" s="226">
        <v>14900000</v>
      </c>
      <c r="D155" s="7"/>
    </row>
    <row r="156" spans="1:12" x14ac:dyDescent="0.25">
      <c r="A156" s="228">
        <v>2</v>
      </c>
      <c r="B156" s="225" t="s">
        <v>273</v>
      </c>
      <c r="C156" s="226">
        <v>300000</v>
      </c>
      <c r="D156" s="7"/>
    </row>
    <row r="157" spans="1:12" x14ac:dyDescent="0.25">
      <c r="A157" s="228">
        <v>4</v>
      </c>
      <c r="B157" s="225" t="s">
        <v>246</v>
      </c>
      <c r="C157" s="226">
        <v>1215000</v>
      </c>
      <c r="D157" s="7"/>
    </row>
    <row r="158" spans="1:12" x14ac:dyDescent="0.25">
      <c r="A158" s="228">
        <v>5</v>
      </c>
      <c r="B158" s="227" t="s">
        <v>8</v>
      </c>
      <c r="C158" s="226">
        <f>SUM(C155:C157)</f>
        <v>16415000</v>
      </c>
      <c r="D158" s="7"/>
    </row>
    <row r="159" spans="1:12" x14ac:dyDescent="0.25">
      <c r="A159" s="322"/>
      <c r="B159" s="299"/>
      <c r="C159" s="222"/>
      <c r="D159" s="7"/>
    </row>
    <row r="160" spans="1:12" x14ac:dyDescent="0.25">
      <c r="A160" s="322"/>
      <c r="B160" s="299"/>
      <c r="C160" s="222"/>
      <c r="D160" s="7"/>
    </row>
    <row r="161" spans="1:4" x14ac:dyDescent="0.25">
      <c r="A161" s="413" t="s">
        <v>356</v>
      </c>
      <c r="B161" s="413"/>
      <c r="C161" s="413"/>
      <c r="D161" s="7"/>
    </row>
    <row r="162" spans="1:4" x14ac:dyDescent="0.25">
      <c r="A162" s="228" t="s">
        <v>0</v>
      </c>
      <c r="B162" s="228" t="s">
        <v>248</v>
      </c>
      <c r="C162" s="228" t="s">
        <v>77</v>
      </c>
      <c r="D162" s="7"/>
    </row>
    <row r="163" spans="1:4" x14ac:dyDescent="0.25">
      <c r="A163" s="228">
        <v>1</v>
      </c>
      <c r="B163" s="225" t="s">
        <v>328</v>
      </c>
      <c r="C163" s="226">
        <v>226094000</v>
      </c>
    </row>
    <row r="164" spans="1:4" x14ac:dyDescent="0.25">
      <c r="A164" s="228">
        <v>2</v>
      </c>
      <c r="B164" s="225" t="s">
        <v>354</v>
      </c>
      <c r="C164" s="226">
        <v>152000000</v>
      </c>
    </row>
    <row r="165" spans="1:4" x14ac:dyDescent="0.25">
      <c r="A165" s="228">
        <v>5</v>
      </c>
      <c r="B165" s="227" t="s">
        <v>355</v>
      </c>
      <c r="C165" s="226">
        <v>30271708</v>
      </c>
    </row>
  </sheetData>
  <mergeCells count="31">
    <mergeCell ref="A149:B149"/>
    <mergeCell ref="A150:B150"/>
    <mergeCell ref="A151:B151"/>
    <mergeCell ref="A152:B152"/>
    <mergeCell ref="A148:B148"/>
    <mergeCell ref="A142:B142"/>
    <mergeCell ref="A143:B143"/>
    <mergeCell ref="A144:B144"/>
    <mergeCell ref="A145:B145"/>
    <mergeCell ref="A147:B147"/>
    <mergeCell ref="C136:D136"/>
    <mergeCell ref="A138:B138"/>
    <mergeCell ref="A139:B139"/>
    <mergeCell ref="A140:B140"/>
    <mergeCell ref="A141:B141"/>
    <mergeCell ref="A161:C161"/>
    <mergeCell ref="A134:D134"/>
    <mergeCell ref="A1:N1"/>
    <mergeCell ref="A2:N2"/>
    <mergeCell ref="A94:E94"/>
    <mergeCell ref="E96:J96"/>
    <mergeCell ref="G97:H97"/>
    <mergeCell ref="G99:I99"/>
    <mergeCell ref="A101:A102"/>
    <mergeCell ref="B101:C101"/>
    <mergeCell ref="G101:I101"/>
    <mergeCell ref="G102:I102"/>
    <mergeCell ref="A133:D133"/>
    <mergeCell ref="A146:B146"/>
    <mergeCell ref="A135:D135"/>
    <mergeCell ref="A136:B136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topLeftCell="A142" zoomScaleNormal="100" workbookViewId="0">
      <selection activeCell="D15" sqref="D15"/>
    </sheetView>
  </sheetViews>
  <sheetFormatPr defaultRowHeight="15" x14ac:dyDescent="0.25"/>
  <cols>
    <col min="1" max="1" width="6.140625" customWidth="1"/>
    <col min="2" max="2" width="23.42578125" customWidth="1"/>
    <col min="3" max="3" width="25.85546875" customWidth="1"/>
    <col min="4" max="4" width="20.28515625" customWidth="1"/>
    <col min="5" max="5" width="15.42578125" customWidth="1"/>
    <col min="6" max="6" width="9.7109375" customWidth="1"/>
    <col min="7" max="7" width="11.85546875" customWidth="1"/>
    <col min="8" max="8" width="1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357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s="250" customFormat="1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92500</v>
      </c>
      <c r="E5" s="140">
        <v>112000</v>
      </c>
      <c r="F5" s="271">
        <v>280</v>
      </c>
      <c r="G5" s="142">
        <v>115</v>
      </c>
      <c r="H5" s="141">
        <f>(Table2423256789101112131415162019212223[[#This Row],[STOK]]-Table2423256789101112131415162019212223[[#This Row],[TERJUAL]])</f>
        <v>165</v>
      </c>
      <c r="I5" s="143">
        <f>(Table2423256789101112131415162019212223[HARGA JUAL]*Table2423256789101112131415162019212223[TERJUAL])-(Table2423256789101112131415162019212223[HARGA POKOK]*Table2423256789101112131415162019212223[TERJUAL])</f>
        <v>2242500</v>
      </c>
      <c r="J5" s="143">
        <f>(Table2423256789101112131415162019212223[HARGA JUAL]*Table2423256789101112131415162019212223[TERJUAL])</f>
        <v>12880000</v>
      </c>
      <c r="K5" s="143">
        <f>Table2423256789101112131415162019212223[HARGA JUAL]*Table2423256789101112131415162019212223[SISA]</f>
        <v>18480000</v>
      </c>
      <c r="L5" s="144">
        <f>Table2423256789101112131415162019212223[HARGA POKOK]*Table2423256789101112131415162019212223[STOK]</f>
        <v>25900000</v>
      </c>
      <c r="M5" s="144">
        <f>Table2423256789101112131415162019212223[HARGA JUAL]*Table2423256789101112131415162019212223[STOK]</f>
        <v>31360000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90000</v>
      </c>
      <c r="F6" s="270">
        <v>3</v>
      </c>
      <c r="G6" s="142">
        <v>6</v>
      </c>
      <c r="H6" s="141">
        <f>(Table2423256789101112131415162019212223[[#This Row],[STOK]]-Table2423256789101112131415162019212223[[#This Row],[TERJUAL]])</f>
        <v>-3</v>
      </c>
      <c r="I6" s="143">
        <f>(Table2423256789101112131415162019212223[HARGA JUAL]*Table2423256789101112131415162019212223[TERJUAL])-(Table2423256789101112131415162019212223[HARGA POKOK]*Table2423256789101112131415162019212223[TERJUAL])</f>
        <v>180000</v>
      </c>
      <c r="J6" s="143">
        <f>(Table2423256789101112131415162019212223[HARGA JUAL]*Table2423256789101112131415162019212223[TERJUAL])</f>
        <v>540000</v>
      </c>
      <c r="K6" s="143">
        <f>Table2423256789101112131415162019212223[HARGA JUAL]*Table2423256789101112131415162019212223[SISA]</f>
        <v>-270000</v>
      </c>
      <c r="L6" s="144">
        <f>Table2423256789101112131415162019212223[HARGA POKOK]*Table2423256789101112131415162019212223[STOK]</f>
        <v>180000</v>
      </c>
      <c r="M6" s="144">
        <f>Table2423256789101112131415162019212223[HARGA JUAL]*Table2423256789101112131415162019212223[STOK]</f>
        <v>270000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54500</v>
      </c>
      <c r="E7" s="140">
        <v>70000</v>
      </c>
      <c r="F7" s="141">
        <v>40</v>
      </c>
      <c r="G7" s="142">
        <v>20</v>
      </c>
      <c r="H7" s="141">
        <f>(Table2423256789101112131415162019212223[[#This Row],[STOK]]-Table2423256789101112131415162019212223[[#This Row],[TERJUAL]])</f>
        <v>20</v>
      </c>
      <c r="I7" s="143">
        <f>(Table2423256789101112131415162019212223[HARGA JUAL]*Table2423256789101112131415162019212223[TERJUAL])-(Table2423256789101112131415162019212223[HARGA POKOK]*Table2423256789101112131415162019212223[TERJUAL])</f>
        <v>310000</v>
      </c>
      <c r="J7" s="143">
        <f>(Table2423256789101112131415162019212223[HARGA JUAL]*Table2423256789101112131415162019212223[TERJUAL])</f>
        <v>1400000</v>
      </c>
      <c r="K7" s="143">
        <f>Table2423256789101112131415162019212223[HARGA JUAL]*Table2423256789101112131415162019212223[SISA]</f>
        <v>1400000</v>
      </c>
      <c r="L7" s="144">
        <f>Table2423256789101112131415162019212223[HARGA POKOK]*Table2423256789101112131415162019212223[STOK]</f>
        <v>2180000</v>
      </c>
      <c r="M7" s="144">
        <f>Table2423256789101112131415162019212223[HARGA JUAL]*Table2423256789101112131415162019212223[STOK]</f>
        <v>2800000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67500</v>
      </c>
      <c r="E8" s="140">
        <v>90000</v>
      </c>
      <c r="F8" s="141">
        <v>180</v>
      </c>
      <c r="G8" s="142">
        <v>36</v>
      </c>
      <c r="H8" s="141">
        <f>(Table2423256789101112131415162019212223[[#This Row],[STOK]]-Table2423256789101112131415162019212223[[#This Row],[TERJUAL]])</f>
        <v>144</v>
      </c>
      <c r="I8" s="143">
        <f>(Table2423256789101112131415162019212223[HARGA JUAL]*Table2423256789101112131415162019212223[TERJUAL])-(Table2423256789101112131415162019212223[HARGA POKOK]*Table2423256789101112131415162019212223[TERJUAL])</f>
        <v>810000</v>
      </c>
      <c r="J8" s="143">
        <f>(Table2423256789101112131415162019212223[HARGA JUAL]*Table2423256789101112131415162019212223[TERJUAL])</f>
        <v>3240000</v>
      </c>
      <c r="K8" s="143">
        <f>Table2423256789101112131415162019212223[HARGA JUAL]*Table2423256789101112131415162019212223[SISA]</f>
        <v>12960000</v>
      </c>
      <c r="L8" s="144">
        <f>Table2423256789101112131415162019212223[HARGA POKOK]*Table2423256789101112131415162019212223[STOK]</f>
        <v>12150000</v>
      </c>
      <c r="M8" s="144">
        <f>Table2423256789101112131415162019212223[HARGA JUAL]*Table2423256789101112131415162019212223[STOK]</f>
        <v>16200000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62500</v>
      </c>
      <c r="E9" s="140">
        <v>90000</v>
      </c>
      <c r="F9" s="141">
        <v>180</v>
      </c>
      <c r="G9" s="142">
        <v>21</v>
      </c>
      <c r="H9" s="141">
        <f>(Table2423256789101112131415162019212223[[#This Row],[STOK]]-Table2423256789101112131415162019212223[[#This Row],[TERJUAL]])</f>
        <v>159</v>
      </c>
      <c r="I9" s="143">
        <f>(Table2423256789101112131415162019212223[HARGA JUAL]*Table2423256789101112131415162019212223[TERJUAL])-(Table2423256789101112131415162019212223[HARGA POKOK]*Table2423256789101112131415162019212223[TERJUAL])</f>
        <v>577500</v>
      </c>
      <c r="J9" s="143">
        <f>(Table2423256789101112131415162019212223[HARGA JUAL]*Table2423256789101112131415162019212223[TERJUAL])</f>
        <v>1890000</v>
      </c>
      <c r="K9" s="143">
        <f>Table2423256789101112131415162019212223[HARGA JUAL]*Table2423256789101112131415162019212223[SISA]</f>
        <v>14310000</v>
      </c>
      <c r="L9" s="144">
        <f>Table2423256789101112131415162019212223[HARGA POKOK]*Table2423256789101112131415162019212223[STOK]</f>
        <v>11250000</v>
      </c>
      <c r="M9" s="144">
        <f>Table2423256789101112131415162019212223[HARGA JUAL]*Table2423256789101112131415162019212223[STOK]</f>
        <v>16200000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4</v>
      </c>
      <c r="G10" s="142">
        <v>4</v>
      </c>
      <c r="H10" s="141">
        <f>(Table2423256789101112131415162019212223[[#This Row],[STOK]]-Table2423256789101112131415162019212223[[#This Row],[TERJUAL]])</f>
        <v>0</v>
      </c>
      <c r="I10" s="143">
        <f>(Table2423256789101112131415162019212223[HARGA JUAL]*Table2423256789101112131415162019212223[TERJUAL])-(Table2423256789101112131415162019212223[HARGA POKOK]*Table2423256789101112131415162019212223[TERJUAL])</f>
        <v>106000</v>
      </c>
      <c r="J10" s="143">
        <f>(Table2423256789101112131415162019212223[HARGA JUAL]*Table2423256789101112131415162019212223[TERJUAL])</f>
        <v>440000</v>
      </c>
      <c r="K10" s="143">
        <f>Table2423256789101112131415162019212223[HARGA JUAL]*Table2423256789101112131415162019212223[SISA]</f>
        <v>0</v>
      </c>
      <c r="L10" s="144">
        <f>Table2423256789101112131415162019212223[HARGA POKOK]*Table2423256789101112131415162019212223[STOK]</f>
        <v>334000</v>
      </c>
      <c r="M10" s="144">
        <f>Table2423256789101112131415162019212223[HARGA JUAL]*Table2423256789101112131415162019212223[STOK]</f>
        <v>440000</v>
      </c>
      <c r="N10" s="145"/>
    </row>
    <row r="11" spans="1:14" s="311" customFormat="1" x14ac:dyDescent="0.25">
      <c r="A11" s="137">
        <v>7</v>
      </c>
      <c r="B11" s="284" t="s">
        <v>28</v>
      </c>
      <c r="C11" s="284" t="s">
        <v>38</v>
      </c>
      <c r="D11" s="285">
        <v>88500</v>
      </c>
      <c r="E11" s="285">
        <v>50000</v>
      </c>
      <c r="F11" s="286">
        <v>8</v>
      </c>
      <c r="G11" s="287">
        <v>1</v>
      </c>
      <c r="H11" s="286">
        <f>(Table2423256789101112131415162019212223[[#This Row],[STOK]]-Table2423256789101112131415162019212223[[#This Row],[TERJUAL]])</f>
        <v>7</v>
      </c>
      <c r="I11" s="288">
        <f>(Table2423256789101112131415162019212223[HARGA JUAL]*Table2423256789101112131415162019212223[TERJUAL])-(Table2423256789101112131415162019212223[HARGA POKOK]*Table2423256789101112131415162019212223[TERJUAL])</f>
        <v>-38500</v>
      </c>
      <c r="J11" s="288">
        <f>(Table2423256789101112131415162019212223[HARGA JUAL]*Table2423256789101112131415162019212223[TERJUAL])</f>
        <v>50000</v>
      </c>
      <c r="K11" s="288">
        <f>Table2423256789101112131415162019212223[HARGA JUAL]*Table2423256789101112131415162019212223[SISA]</f>
        <v>350000</v>
      </c>
      <c r="L11" s="289">
        <f>Table2423256789101112131415162019212223[HARGA POKOK]*Table2423256789101112131415162019212223[STOK]</f>
        <v>708000</v>
      </c>
      <c r="M11" s="289">
        <f>Table2423256789101112131415162019212223[HARGA JUAL]*Table2423256789101112131415162019212223[STOK]</f>
        <v>400000</v>
      </c>
      <c r="N11" s="290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26</v>
      </c>
      <c r="G12" s="142">
        <v>4</v>
      </c>
      <c r="H12" s="141">
        <f>(Table2423256789101112131415162019212223[[#This Row],[STOK]]-Table2423256789101112131415162019212223[[#This Row],[TERJUAL]])</f>
        <v>22</v>
      </c>
      <c r="I12" s="143">
        <f>(Table2423256789101112131415162019212223[HARGA JUAL]*Table2423256789101112131415162019212223[TERJUAL])-(Table2423256789101112131415162019212223[HARGA POKOK]*Table2423256789101112131415162019212223[TERJUAL])</f>
        <v>24000</v>
      </c>
      <c r="J12" s="143">
        <f>(Table2423256789101112131415162019212223[HARGA JUAL]*Table2423256789101112131415162019212223[TERJUAL])</f>
        <v>360000</v>
      </c>
      <c r="K12" s="143">
        <f>Table2423256789101112131415162019212223[HARGA JUAL]*Table2423256789101112131415162019212223[SISA]</f>
        <v>1980000</v>
      </c>
      <c r="L12" s="144">
        <f>Table2423256789101112131415162019212223[HARGA POKOK]*Table2423256789101112131415162019212223[STOK]</f>
        <v>2184000</v>
      </c>
      <c r="M12" s="144">
        <f>Table2423256789101112131415162019212223[HARGA JUAL]*Table2423256789101112131415162019212223[STOK]</f>
        <v>2340000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157500</v>
      </c>
      <c r="E13" s="140">
        <v>180000</v>
      </c>
      <c r="F13" s="141">
        <v>72</v>
      </c>
      <c r="G13" s="142">
        <v>4</v>
      </c>
      <c r="H13" s="141">
        <f>(Table2423256789101112131415162019212223[[#This Row],[STOK]]-Table2423256789101112131415162019212223[[#This Row],[TERJUAL]])</f>
        <v>68</v>
      </c>
      <c r="I13" s="143">
        <f>(Table2423256789101112131415162019212223[HARGA JUAL]*Table2423256789101112131415162019212223[TERJUAL])-(Table2423256789101112131415162019212223[HARGA POKOK]*Table2423256789101112131415162019212223[TERJUAL])</f>
        <v>90000</v>
      </c>
      <c r="J13" s="143">
        <f>(Table2423256789101112131415162019212223[HARGA JUAL]*Table2423256789101112131415162019212223[TERJUAL])</f>
        <v>720000</v>
      </c>
      <c r="K13" s="143">
        <f>Table2423256789101112131415162019212223[HARGA JUAL]*Table2423256789101112131415162019212223[SISA]</f>
        <v>12240000</v>
      </c>
      <c r="L13" s="144">
        <f>Table2423256789101112131415162019212223[HARGA POKOK]*Table2423256789101112131415162019212223[STOK]</f>
        <v>11340000</v>
      </c>
      <c r="M13" s="144">
        <f>Table2423256789101112131415162019212223[HARGA JUAL]*Table2423256789101112131415162019212223[STOK]</f>
        <v>12960000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120000</v>
      </c>
      <c r="F14" s="141"/>
      <c r="G14" s="142"/>
      <c r="H14" s="141">
        <f>(Table2423256789101112131415162019212223[[#This Row],[STOK]]-Table2423256789101112131415162019212223[[#This Row],[TERJUAL]])</f>
        <v>0</v>
      </c>
      <c r="I14" s="143">
        <f>(Table2423256789101112131415162019212223[HARGA JUAL]*Table2423256789101112131415162019212223[TERJUAL])-(Table2423256789101112131415162019212223[HARGA POKOK]*Table2423256789101112131415162019212223[TERJUAL])</f>
        <v>0</v>
      </c>
      <c r="J14" s="143">
        <f>(Table2423256789101112131415162019212223[HARGA JUAL]*Table2423256789101112131415162019212223[TERJUAL])</f>
        <v>0</v>
      </c>
      <c r="K14" s="143">
        <f>Table2423256789101112131415162019212223[HARGA JUAL]*Table2423256789101112131415162019212223[SISA]</f>
        <v>0</v>
      </c>
      <c r="L14" s="144">
        <f>Table2423256789101112131415162019212223[HARGA POKOK]*Table2423256789101112131415162019212223[STOK]</f>
        <v>0</v>
      </c>
      <c r="M14" s="144">
        <f>Table2423256789101112131415162019212223[HARGA JUAL]*Table2423256789101112131415162019212223[STOK]</f>
        <v>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35500</v>
      </c>
      <c r="E15" s="140">
        <v>40000</v>
      </c>
      <c r="F15" s="141">
        <v>130</v>
      </c>
      <c r="G15" s="142">
        <v>19</v>
      </c>
      <c r="H15" s="141">
        <f>(Table2423256789101112131415162019212223[[#This Row],[STOK]]-Table2423256789101112131415162019212223[[#This Row],[TERJUAL]])</f>
        <v>111</v>
      </c>
      <c r="I15" s="143">
        <f>(Table2423256789101112131415162019212223[HARGA JUAL]*Table2423256789101112131415162019212223[TERJUAL])-(Table2423256789101112131415162019212223[HARGA POKOK]*Table2423256789101112131415162019212223[TERJUAL])</f>
        <v>85500</v>
      </c>
      <c r="J15" s="143">
        <f>(Table2423256789101112131415162019212223[HARGA JUAL]*Table2423256789101112131415162019212223[TERJUAL])</f>
        <v>760000</v>
      </c>
      <c r="K15" s="143">
        <f>Table2423256789101112131415162019212223[HARGA JUAL]*Table2423256789101112131415162019212223[SISA]</f>
        <v>4440000</v>
      </c>
      <c r="L15" s="144">
        <f>Table2423256789101112131415162019212223[HARGA POKOK]*Table2423256789101112131415162019212223[STOK]</f>
        <v>4615000</v>
      </c>
      <c r="M15" s="144">
        <f>Table2423256789101112131415162019212223[HARGA JUAL]*Table2423256789101112131415162019212223[STOK]</f>
        <v>5200000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82500</v>
      </c>
      <c r="E16" s="140">
        <v>100000</v>
      </c>
      <c r="F16" s="141">
        <v>80</v>
      </c>
      <c r="G16" s="142">
        <v>2</v>
      </c>
      <c r="H16" s="141">
        <f>(Table2423256789101112131415162019212223[[#This Row],[STOK]]-Table2423256789101112131415162019212223[[#This Row],[TERJUAL]])</f>
        <v>78</v>
      </c>
      <c r="I16" s="143">
        <f>(Table2423256789101112131415162019212223[HARGA JUAL]*Table2423256789101112131415162019212223[TERJUAL])-(Table2423256789101112131415162019212223[HARGA POKOK]*Table2423256789101112131415162019212223[TERJUAL])</f>
        <v>35000</v>
      </c>
      <c r="J16" s="143">
        <f>(Table2423256789101112131415162019212223[HARGA JUAL]*Table2423256789101112131415162019212223[TERJUAL])</f>
        <v>200000</v>
      </c>
      <c r="K16" s="143">
        <f>Table2423256789101112131415162019212223[HARGA JUAL]*Table2423256789101112131415162019212223[SISA]</f>
        <v>7800000</v>
      </c>
      <c r="L16" s="144">
        <f>Table2423256789101112131415162019212223[HARGA POKOK]*Table2423256789101112131415162019212223[STOK]</f>
        <v>6600000</v>
      </c>
      <c r="M16" s="144">
        <f>Table2423256789101112131415162019212223[HARGA JUAL]*Table2423256789101112131415162019212223[STOK]</f>
        <v>8000000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47</v>
      </c>
      <c r="G17" s="142">
        <v>3</v>
      </c>
      <c r="H17" s="141">
        <f>(Table2423256789101112131415162019212223[[#This Row],[STOK]]-Table2423256789101112131415162019212223[[#This Row],[TERJUAL]])</f>
        <v>44</v>
      </c>
      <c r="I17" s="143">
        <f>(Table2423256789101112131415162019212223[HARGA JUAL]*Table2423256789101112131415162019212223[TERJUAL])-(Table2423256789101112131415162019212223[HARGA POKOK]*Table2423256789101112131415162019212223[TERJUAL])</f>
        <v>57000</v>
      </c>
      <c r="J17" s="143">
        <f>(Table2423256789101112131415162019212223[HARGA JUAL]*Table2423256789101112131415162019212223[TERJUAL])</f>
        <v>255000</v>
      </c>
      <c r="K17" s="143">
        <f>Table2423256789101112131415162019212223[HARGA JUAL]*Table2423256789101112131415162019212223[SISA]</f>
        <v>3740000</v>
      </c>
      <c r="L17" s="144">
        <f>Table2423256789101112131415162019212223[HARGA POKOK]*Table2423256789101112131415162019212223[STOK]</f>
        <v>3102000</v>
      </c>
      <c r="M17" s="144">
        <f>Table2423256789101112131415162019212223[HARGA JUAL]*Table2423256789101112131415162019212223[STOK]</f>
        <v>3995000</v>
      </c>
      <c r="N17" s="145" t="s">
        <v>292</v>
      </c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349</v>
      </c>
      <c r="G18" s="142">
        <v>14</v>
      </c>
      <c r="H18" s="141">
        <f>(Table2423256789101112131415162019212223[[#This Row],[STOK]]-Table2423256789101112131415162019212223[[#This Row],[TERJUAL]])</f>
        <v>335</v>
      </c>
      <c r="I18" s="143">
        <f>(Table2423256789101112131415162019212223[HARGA JUAL]*Table2423256789101112131415162019212223[TERJUAL])-(Table2423256789101112131415162019212223[HARGA POKOK]*Table2423256789101112131415162019212223[TERJUAL])</f>
        <v>35000</v>
      </c>
      <c r="J18" s="143">
        <f>(Table2423256789101112131415162019212223[HARGA JUAL]*Table2423256789101112131415162019212223[TERJUAL])</f>
        <v>350000</v>
      </c>
      <c r="K18" s="143">
        <f>Table2423256789101112131415162019212223[HARGA JUAL]*Table2423256789101112131415162019212223[SISA]</f>
        <v>8375000</v>
      </c>
      <c r="L18" s="144">
        <f>Table2423256789101112131415162019212223[HARGA POKOK]*Table2423256789101112131415162019212223[STOK]</f>
        <v>7852500</v>
      </c>
      <c r="M18" s="144">
        <f>Table2423256789101112131415162019212223[HARGA JUAL]*Table2423256789101112131415162019212223[STOK]</f>
        <v>8725000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7</v>
      </c>
      <c r="G19" s="142">
        <v>4</v>
      </c>
      <c r="H19" s="141">
        <f>(Table2423256789101112131415162019212223[[#This Row],[STOK]]-Table2423256789101112131415162019212223[[#This Row],[TERJUAL]])</f>
        <v>3</v>
      </c>
      <c r="I19" s="143">
        <f>(Table2423256789101112131415162019212223[HARGA JUAL]*Table2423256789101112131415162019212223[TERJUAL])-(Table2423256789101112131415162019212223[HARGA POKOK]*Table2423256789101112131415162019212223[TERJUAL])</f>
        <v>96000</v>
      </c>
      <c r="J19" s="143">
        <f>(Table2423256789101112131415162019212223[HARGA JUAL]*Table2423256789101112131415162019212223[TERJUAL])</f>
        <v>320000</v>
      </c>
      <c r="K19" s="143">
        <f>Table2423256789101112131415162019212223[HARGA JUAL]*Table2423256789101112131415162019212223[SISA]</f>
        <v>240000</v>
      </c>
      <c r="L19" s="144">
        <f>Table2423256789101112131415162019212223[HARGA POKOK]*Table2423256789101112131415162019212223[STOK]</f>
        <v>392000</v>
      </c>
      <c r="M19" s="144">
        <f>Table2423256789101112131415162019212223[HARGA JUAL]*Table2423256789101112131415162019212223[STOK]</f>
        <v>560000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/>
      <c r="G20" s="142"/>
      <c r="H20" s="141">
        <f>(Table2423256789101112131415162019212223[[#This Row],[STOK]]-Table2423256789101112131415162019212223[[#This Row],[TERJUAL]])</f>
        <v>0</v>
      </c>
      <c r="I20" s="143">
        <f>(Table2423256789101112131415162019212223[HARGA JUAL]*Table2423256789101112131415162019212223[TERJUAL])-(Table2423256789101112131415162019212223[HARGA POKOK]*Table2423256789101112131415162019212223[TERJUAL])</f>
        <v>0</v>
      </c>
      <c r="J20" s="143">
        <f>(Table2423256789101112131415162019212223[HARGA JUAL]*Table2423256789101112131415162019212223[TERJUAL])</f>
        <v>0</v>
      </c>
      <c r="K20" s="143">
        <f>Table2423256789101112131415162019212223[HARGA JUAL]*Table2423256789101112131415162019212223[SISA]</f>
        <v>0</v>
      </c>
      <c r="L20" s="144">
        <f>Table2423256789101112131415162019212223[HARGA POKOK]*Table2423256789101112131415162019212223[STOK]</f>
        <v>0</v>
      </c>
      <c r="M20" s="144">
        <f>Table2423256789101112131415162019212223[HARGA JUAL]*Table2423256789101112131415162019212223[STOK]</f>
        <v>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62</v>
      </c>
      <c r="G21" s="142">
        <v>1</v>
      </c>
      <c r="H21" s="141">
        <f>(Table2423256789101112131415162019212223[[#This Row],[STOK]]-Table2423256789101112131415162019212223[[#This Row],[TERJUAL]])</f>
        <v>61</v>
      </c>
      <c r="I21" s="143">
        <f>(Table2423256789101112131415162019212223[HARGA JUAL]*Table2423256789101112131415162019212223[TERJUAL])-(Table2423256789101112131415162019212223[HARGA POKOK]*Table2423256789101112131415162019212223[TERJUAL])</f>
        <v>11500</v>
      </c>
      <c r="J21" s="143">
        <f>(Table2423256789101112131415162019212223[HARGA JUAL]*Table2423256789101112131415162019212223[TERJUAL])</f>
        <v>22000</v>
      </c>
      <c r="K21" s="143">
        <f>Table2423256789101112131415162019212223[HARGA JUAL]*Table2423256789101112131415162019212223[SISA]</f>
        <v>1342000</v>
      </c>
      <c r="L21" s="144">
        <f>Table2423256789101112131415162019212223[HARGA POKOK]*Table2423256789101112131415162019212223[STOK]</f>
        <v>651000</v>
      </c>
      <c r="M21" s="144">
        <f>Table2423256789101112131415162019212223[HARGA JUAL]*Table2423256789101112131415162019212223[STOK]</f>
        <v>1364000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42</v>
      </c>
      <c r="G22" s="142">
        <v>3</v>
      </c>
      <c r="H22" s="141">
        <f>(Table2423256789101112131415162019212223[[#This Row],[STOK]]-Table2423256789101112131415162019212223[[#This Row],[TERJUAL]])</f>
        <v>39</v>
      </c>
      <c r="I22" s="143">
        <f>(Table2423256789101112131415162019212223[HARGA JUAL]*Table2423256789101112131415162019212223[TERJUAL])-(Table2423256789101112131415162019212223[HARGA POKOK]*Table2423256789101112131415162019212223[TERJUAL])</f>
        <v>60000</v>
      </c>
      <c r="J22" s="143">
        <f>(Table2423256789101112131415162019212223[HARGA JUAL]*Table2423256789101112131415162019212223[TERJUAL])</f>
        <v>240000</v>
      </c>
      <c r="K22" s="143">
        <f>Table2423256789101112131415162019212223[HARGA JUAL]*Table2423256789101112131415162019212223[SISA]</f>
        <v>3120000</v>
      </c>
      <c r="L22" s="144">
        <f>Table2423256789101112131415162019212223[HARGA POKOK]*Table2423256789101112131415162019212223[STOK]</f>
        <v>2520000</v>
      </c>
      <c r="M22" s="144">
        <f>Table2423256789101112131415162019212223[HARGA JUAL]*Table2423256789101112131415162019212223[STOK]</f>
        <v>3360000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55</v>
      </c>
      <c r="G23" s="142">
        <v>2</v>
      </c>
      <c r="H23" s="141">
        <f>(Table2423256789101112131415162019212223[[#This Row],[STOK]]-Table2423256789101112131415162019212223[[#This Row],[TERJUAL]])</f>
        <v>53</v>
      </c>
      <c r="I23" s="143">
        <f>(Table2423256789101112131415162019212223[HARGA JUAL]*Table2423256789101112131415162019212223[TERJUAL])-(Table2423256789101112131415162019212223[HARGA POKOK]*Table2423256789101112131415162019212223[TERJUAL])</f>
        <v>21000</v>
      </c>
      <c r="J23" s="143">
        <f>(Table2423256789101112131415162019212223[HARGA JUAL]*Table2423256789101112131415162019212223[TERJUAL])</f>
        <v>50000</v>
      </c>
      <c r="K23" s="143">
        <f>Table2423256789101112131415162019212223[HARGA JUAL]*Table2423256789101112131415162019212223[SISA]</f>
        <v>1325000</v>
      </c>
      <c r="L23" s="144">
        <f>Table2423256789101112131415162019212223[HARGA POKOK]*Table2423256789101112131415162019212223[STOK]</f>
        <v>797500</v>
      </c>
      <c r="M23" s="144">
        <f>Table2423256789101112131415162019212223[HARGA JUAL]*Table2423256789101112131415162019212223[STOK]</f>
        <v>1375000</v>
      </c>
      <c r="N23" s="145"/>
    </row>
    <row r="24" spans="1:14" x14ac:dyDescent="0.25">
      <c r="A24" s="137">
        <v>20</v>
      </c>
      <c r="B24" s="284" t="s">
        <v>28</v>
      </c>
      <c r="C24" s="284" t="s">
        <v>52</v>
      </c>
      <c r="D24" s="285">
        <v>30000</v>
      </c>
      <c r="E24" s="285">
        <v>15000</v>
      </c>
      <c r="F24" s="286">
        <v>32</v>
      </c>
      <c r="G24" s="287">
        <v>5</v>
      </c>
      <c r="H24" s="286">
        <f>(Table2423256789101112131415162019212223[[#This Row],[STOK]]-Table2423256789101112131415162019212223[[#This Row],[TERJUAL]])</f>
        <v>27</v>
      </c>
      <c r="I24" s="288">
        <f>(Table2423256789101112131415162019212223[HARGA JUAL]*Table2423256789101112131415162019212223[TERJUAL])-(Table2423256789101112131415162019212223[HARGA POKOK]*Table2423256789101112131415162019212223[TERJUAL])</f>
        <v>-75000</v>
      </c>
      <c r="J24" s="288">
        <f>(Table2423256789101112131415162019212223[HARGA JUAL]*Table2423256789101112131415162019212223[TERJUAL])</f>
        <v>75000</v>
      </c>
      <c r="K24" s="288">
        <f>Table2423256789101112131415162019212223[HARGA JUAL]*Table2423256789101112131415162019212223[SISA]</f>
        <v>405000</v>
      </c>
      <c r="L24" s="289">
        <f>Table2423256789101112131415162019212223[HARGA POKOK]*Table2423256789101112131415162019212223[STOK]</f>
        <v>960000</v>
      </c>
      <c r="M24" s="289">
        <f>Table2423256789101112131415162019212223[HARGA JUAL]*Table2423256789101112131415162019212223[STOK]</f>
        <v>480000</v>
      </c>
      <c r="N24" s="290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4500</v>
      </c>
      <c r="E25" s="140">
        <v>10000</v>
      </c>
      <c r="F25" s="141">
        <v>280</v>
      </c>
      <c r="G25" s="142">
        <v>4</v>
      </c>
      <c r="H25" s="141">
        <f>(Table2423256789101112131415162019212223[[#This Row],[STOK]]-Table2423256789101112131415162019212223[[#This Row],[TERJUAL]])</f>
        <v>276</v>
      </c>
      <c r="I25" s="143">
        <f>(Table2423256789101112131415162019212223[HARGA JUAL]*Table2423256789101112131415162019212223[TERJUAL])-(Table2423256789101112131415162019212223[HARGA POKOK]*Table2423256789101112131415162019212223[TERJUAL])</f>
        <v>22000</v>
      </c>
      <c r="J25" s="143">
        <f>(Table2423256789101112131415162019212223[HARGA JUAL]*Table2423256789101112131415162019212223[TERJUAL])</f>
        <v>40000</v>
      </c>
      <c r="K25" s="143">
        <f>Table2423256789101112131415162019212223[HARGA JUAL]*Table2423256789101112131415162019212223[SISA]</f>
        <v>2760000</v>
      </c>
      <c r="L25" s="144">
        <f>Table2423256789101112131415162019212223[HARGA POKOK]*Table2423256789101112131415162019212223[STOK]</f>
        <v>1260000</v>
      </c>
      <c r="M25" s="144">
        <f>Table2423256789101112131415162019212223[HARGA JUAL]*Table2423256789101112131415162019212223[STOK]</f>
        <v>2800000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69</v>
      </c>
      <c r="G26" s="142"/>
      <c r="H26" s="141">
        <f>(Table2423256789101112131415162019212223[[#This Row],[STOK]]-Table2423256789101112131415162019212223[[#This Row],[TERJUAL]])</f>
        <v>69</v>
      </c>
      <c r="I26" s="143">
        <f>(Table2423256789101112131415162019212223[HARGA JUAL]*Table2423256789101112131415162019212223[TERJUAL])-(Table2423256789101112131415162019212223[HARGA POKOK]*Table2423256789101112131415162019212223[TERJUAL])</f>
        <v>0</v>
      </c>
      <c r="J26" s="143">
        <f>(Table2423256789101112131415162019212223[HARGA JUAL]*Table2423256789101112131415162019212223[TERJUAL])</f>
        <v>0</v>
      </c>
      <c r="K26" s="143">
        <f>Table2423256789101112131415162019212223[HARGA JUAL]*Table2423256789101112131415162019212223[SISA]</f>
        <v>4140000</v>
      </c>
      <c r="L26" s="144">
        <f>Table2423256789101112131415162019212223[HARGA POKOK]*Table2423256789101112131415162019212223[STOK]</f>
        <v>3277500</v>
      </c>
      <c r="M26" s="144">
        <f>Table2423256789101112131415162019212223[HARGA JUAL]*Table2423256789101112131415162019212223[STOK]</f>
        <v>4140000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12</v>
      </c>
      <c r="G27" s="142"/>
      <c r="H27" s="141">
        <f>(Table2423256789101112131415162019212223[[#This Row],[STOK]]-Table2423256789101112131415162019212223[[#This Row],[TERJUAL]])</f>
        <v>12</v>
      </c>
      <c r="I27" s="143">
        <f>(Table2423256789101112131415162019212223[HARGA JUAL]*Table2423256789101112131415162019212223[TERJUAL])-(Table2423256789101112131415162019212223[HARGA POKOK]*Table2423256789101112131415162019212223[TERJUAL])</f>
        <v>0</v>
      </c>
      <c r="J27" s="143">
        <f>(Table2423256789101112131415162019212223[HARGA JUAL]*Table2423256789101112131415162019212223[TERJUAL])</f>
        <v>0</v>
      </c>
      <c r="K27" s="143">
        <f>Table2423256789101112131415162019212223[HARGA JUAL]*Table2423256789101112131415162019212223[SISA]</f>
        <v>1716000</v>
      </c>
      <c r="L27" s="144">
        <f>Table2423256789101112131415162019212223[HARGA POKOK]*Table2423256789101112131415162019212223[STOK]</f>
        <v>1374000</v>
      </c>
      <c r="M27" s="144">
        <f>Table2423256789101112131415162019212223[HARGA JUAL]*Table2423256789101112131415162019212223[STOK]</f>
        <v>1716000</v>
      </c>
      <c r="N27" s="145"/>
    </row>
    <row r="28" spans="1:14" x14ac:dyDescent="0.25">
      <c r="A28" s="137">
        <v>24</v>
      </c>
      <c r="B28" s="138" t="s">
        <v>29</v>
      </c>
      <c r="C28" s="138" t="s">
        <v>314</v>
      </c>
      <c r="D28" s="140">
        <v>102000</v>
      </c>
      <c r="E28" s="140">
        <v>130000</v>
      </c>
      <c r="F28" s="141">
        <v>20</v>
      </c>
      <c r="G28" s="142"/>
      <c r="H28" s="141">
        <f>(Table2423256789101112131415162019212223[[#This Row],[STOK]]-Table2423256789101112131415162019212223[[#This Row],[TERJUAL]])</f>
        <v>20</v>
      </c>
      <c r="I28" s="143">
        <f>(Table2423256789101112131415162019212223[HARGA JUAL]*Table2423256789101112131415162019212223[TERJUAL])-(Table2423256789101112131415162019212223[HARGA POKOK]*Table2423256789101112131415162019212223[TERJUAL])</f>
        <v>0</v>
      </c>
      <c r="J28" s="143">
        <f>(Table2423256789101112131415162019212223[HARGA JUAL]*Table2423256789101112131415162019212223[TERJUAL])</f>
        <v>0</v>
      </c>
      <c r="K28" s="143">
        <f>Table2423256789101112131415162019212223[HARGA JUAL]*Table2423256789101112131415162019212223[SISA]</f>
        <v>2600000</v>
      </c>
      <c r="L28" s="144">
        <f>Table2423256789101112131415162019212223[HARGA POKOK]*Table2423256789101112131415162019212223[STOK]</f>
        <v>2040000</v>
      </c>
      <c r="M28" s="144">
        <f>Table2423256789101112131415162019212223[HARGA JUAL]*Table2423256789101112131415162019212223[STOK]</f>
        <v>2600000</v>
      </c>
      <c r="N28" s="145"/>
    </row>
    <row r="29" spans="1:14" x14ac:dyDescent="0.25">
      <c r="A29" s="137">
        <v>25</v>
      </c>
      <c r="B29" s="138" t="s">
        <v>29</v>
      </c>
      <c r="C29" s="138" t="s">
        <v>293</v>
      </c>
      <c r="D29" s="140">
        <v>68500</v>
      </c>
      <c r="E29" s="140">
        <v>120000</v>
      </c>
      <c r="F29" s="141"/>
      <c r="G29" s="142"/>
      <c r="H29" s="141">
        <f>(Table2423256789101112131415162019212223[[#This Row],[STOK]]-Table2423256789101112131415162019212223[[#This Row],[TERJUAL]])</f>
        <v>0</v>
      </c>
      <c r="I29" s="143">
        <f>(Table2423256789101112131415162019212223[HARGA JUAL]*Table2423256789101112131415162019212223[TERJUAL])-(Table2423256789101112131415162019212223[HARGA POKOK]*Table2423256789101112131415162019212223[TERJUAL])</f>
        <v>0</v>
      </c>
      <c r="J29" s="143">
        <f>(Table2423256789101112131415162019212223[HARGA JUAL]*Table2423256789101112131415162019212223[TERJUAL])</f>
        <v>0</v>
      </c>
      <c r="K29" s="143">
        <f>Table2423256789101112131415162019212223[HARGA JUAL]*Table2423256789101112131415162019212223[SISA]</f>
        <v>0</v>
      </c>
      <c r="L29" s="144">
        <f>Table2423256789101112131415162019212223[HARGA POKOK]*Table2423256789101112131415162019212223[STOK]</f>
        <v>0</v>
      </c>
      <c r="M29" s="144">
        <f>Table2423256789101112131415162019212223[HARGA JUAL]*Table2423256789101112131415162019212223[STOK]</f>
        <v>0</v>
      </c>
      <c r="N29" s="145"/>
    </row>
    <row r="30" spans="1:14" x14ac:dyDescent="0.25">
      <c r="A30" s="137">
        <v>26</v>
      </c>
      <c r="B30" s="138" t="s">
        <v>29</v>
      </c>
      <c r="C30" s="138" t="s">
        <v>57</v>
      </c>
      <c r="D30" s="140">
        <v>165000</v>
      </c>
      <c r="E30" s="140">
        <v>50000</v>
      </c>
      <c r="F30" s="141">
        <v>0</v>
      </c>
      <c r="G30" s="142"/>
      <c r="H30" s="141">
        <f>(Table2423256789101112131415162019212223[[#This Row],[STOK]]-Table2423256789101112131415162019212223[[#This Row],[TERJUAL]])</f>
        <v>0</v>
      </c>
      <c r="I30" s="143">
        <f>(Table2423256789101112131415162019212223[HARGA JUAL]*Table2423256789101112131415162019212223[TERJUAL])-(Table2423256789101112131415162019212223[HARGA POKOK]*Table2423256789101112131415162019212223[TERJUAL])</f>
        <v>0</v>
      </c>
      <c r="J30" s="143">
        <f>(Table2423256789101112131415162019212223[HARGA JUAL]*Table2423256789101112131415162019212223[TERJUAL])</f>
        <v>0</v>
      </c>
      <c r="K30" s="143">
        <f>Table2423256789101112131415162019212223[HARGA JUAL]*Table2423256789101112131415162019212223[SISA]</f>
        <v>0</v>
      </c>
      <c r="L30" s="144">
        <f>Table2423256789101112131415162019212223[HARGA POKOK]*Table2423256789101112131415162019212223[STOK]</f>
        <v>0</v>
      </c>
      <c r="M30" s="144">
        <f>Table2423256789101112131415162019212223[HARGA JUAL]*Table2423256789101112131415162019212223[STOK]</f>
        <v>0</v>
      </c>
      <c r="N30" s="145"/>
    </row>
    <row r="31" spans="1:14" x14ac:dyDescent="0.25">
      <c r="A31" s="137">
        <v>27</v>
      </c>
      <c r="B31" s="138" t="s">
        <v>30</v>
      </c>
      <c r="C31" s="138" t="s">
        <v>315</v>
      </c>
      <c r="D31" s="140">
        <v>38500</v>
      </c>
      <c r="E31" s="140">
        <v>55000</v>
      </c>
      <c r="F31" s="141">
        <v>20</v>
      </c>
      <c r="G31" s="142">
        <v>2</v>
      </c>
      <c r="H31" s="141">
        <f>(Table2423256789101112131415162019212223[[#This Row],[STOK]]-Table2423256789101112131415162019212223[[#This Row],[TERJUAL]])</f>
        <v>18</v>
      </c>
      <c r="I31" s="143">
        <f>(Table2423256789101112131415162019212223[HARGA JUAL]*Table2423256789101112131415162019212223[TERJUAL])-(Table2423256789101112131415162019212223[HARGA POKOK]*Table2423256789101112131415162019212223[TERJUAL])</f>
        <v>33000</v>
      </c>
      <c r="J31" s="143">
        <f>(Table2423256789101112131415162019212223[HARGA JUAL]*Table2423256789101112131415162019212223[TERJUAL])</f>
        <v>110000</v>
      </c>
      <c r="K31" s="143">
        <f>Table2423256789101112131415162019212223[HARGA JUAL]*Table2423256789101112131415162019212223[SISA]</f>
        <v>990000</v>
      </c>
      <c r="L31" s="144">
        <f>Table2423256789101112131415162019212223[HARGA POKOK]*Table2423256789101112131415162019212223[STOK]</f>
        <v>770000</v>
      </c>
      <c r="M31" s="144">
        <f>Table2423256789101112131415162019212223[HARGA JUAL]*Table2423256789101112131415162019212223[STOK]</f>
        <v>1100000</v>
      </c>
      <c r="N31" s="145"/>
    </row>
    <row r="32" spans="1:14" x14ac:dyDescent="0.25">
      <c r="A32" s="137">
        <v>28</v>
      </c>
      <c r="B32" s="138" t="s">
        <v>30</v>
      </c>
      <c r="C32" s="138" t="s">
        <v>294</v>
      </c>
      <c r="D32" s="140">
        <v>15000</v>
      </c>
      <c r="E32" s="140">
        <v>30000</v>
      </c>
      <c r="F32" s="141"/>
      <c r="G32" s="142"/>
      <c r="H32" s="141">
        <f>(Table2423256789101112131415162019212223[[#This Row],[STOK]]-Table2423256789101112131415162019212223[[#This Row],[TERJUAL]])</f>
        <v>0</v>
      </c>
      <c r="I32" s="143">
        <f>(Table2423256789101112131415162019212223[HARGA JUAL]*Table2423256789101112131415162019212223[TERJUAL])-(Table2423256789101112131415162019212223[HARGA POKOK]*Table2423256789101112131415162019212223[TERJUAL])</f>
        <v>0</v>
      </c>
      <c r="J32" s="143">
        <f>(Table2423256789101112131415162019212223[HARGA JUAL]*Table2423256789101112131415162019212223[TERJUAL])</f>
        <v>0</v>
      </c>
      <c r="K32" s="143">
        <f>Table2423256789101112131415162019212223[HARGA JUAL]*Table2423256789101112131415162019212223[SISA]</f>
        <v>0</v>
      </c>
      <c r="L32" s="144">
        <f>Table2423256789101112131415162019212223[HARGA POKOK]*Table2423256789101112131415162019212223[STOK]</f>
        <v>0</v>
      </c>
      <c r="M32" s="144">
        <f>Table2423256789101112131415162019212223[HARGA JUAL]*Table2423256789101112131415162019212223[STOK]</f>
        <v>0</v>
      </c>
      <c r="N32" s="145"/>
    </row>
    <row r="33" spans="1:14" x14ac:dyDescent="0.25">
      <c r="A33" s="137">
        <v>29</v>
      </c>
      <c r="B33" s="138" t="s">
        <v>30</v>
      </c>
      <c r="C33" s="138" t="s">
        <v>58</v>
      </c>
      <c r="D33" s="140">
        <v>11500</v>
      </c>
      <c r="E33" s="140">
        <v>20000</v>
      </c>
      <c r="F33" s="141">
        <v>30</v>
      </c>
      <c r="G33" s="142">
        <v>16</v>
      </c>
      <c r="H33" s="141">
        <f>(Table2423256789101112131415162019212223[[#This Row],[STOK]]-Table2423256789101112131415162019212223[[#This Row],[TERJUAL]])</f>
        <v>14</v>
      </c>
      <c r="I33" s="143">
        <f>(Table2423256789101112131415162019212223[HARGA JUAL]*Table2423256789101112131415162019212223[TERJUAL])-(Table2423256789101112131415162019212223[HARGA POKOK]*Table2423256789101112131415162019212223[TERJUAL])</f>
        <v>136000</v>
      </c>
      <c r="J33" s="143">
        <f>(Table2423256789101112131415162019212223[HARGA JUAL]*Table2423256789101112131415162019212223[TERJUAL])</f>
        <v>320000</v>
      </c>
      <c r="K33" s="143">
        <f>Table2423256789101112131415162019212223[HARGA JUAL]*Table2423256789101112131415162019212223[SISA]</f>
        <v>280000</v>
      </c>
      <c r="L33" s="144">
        <f>Table2423256789101112131415162019212223[HARGA POKOK]*Table2423256789101112131415162019212223[STOK]</f>
        <v>345000</v>
      </c>
      <c r="M33" s="144">
        <f>Table2423256789101112131415162019212223[HARGA JUAL]*Table2423256789101112131415162019212223[STOK]</f>
        <v>600000</v>
      </c>
      <c r="N33" s="145"/>
    </row>
    <row r="34" spans="1:14" x14ac:dyDescent="0.25">
      <c r="A34" s="137">
        <v>30</v>
      </c>
      <c r="B34" s="138" t="s">
        <v>30</v>
      </c>
      <c r="C34" s="138" t="s">
        <v>59</v>
      </c>
      <c r="D34" s="140">
        <v>27500</v>
      </c>
      <c r="E34" s="140">
        <v>45000</v>
      </c>
      <c r="F34" s="141">
        <v>8</v>
      </c>
      <c r="G34" s="142">
        <v>3</v>
      </c>
      <c r="H34" s="141">
        <f>(Table2423256789101112131415162019212223[[#This Row],[STOK]]-Table2423256789101112131415162019212223[[#This Row],[TERJUAL]])</f>
        <v>5</v>
      </c>
      <c r="I34" s="143">
        <f>(Table2423256789101112131415162019212223[HARGA JUAL]*Table2423256789101112131415162019212223[TERJUAL])-(Table2423256789101112131415162019212223[HARGA POKOK]*Table2423256789101112131415162019212223[TERJUAL])</f>
        <v>52500</v>
      </c>
      <c r="J34" s="143">
        <f>(Table2423256789101112131415162019212223[HARGA JUAL]*Table2423256789101112131415162019212223[TERJUAL])</f>
        <v>135000</v>
      </c>
      <c r="K34" s="143">
        <f>Table2423256789101112131415162019212223[HARGA JUAL]*Table2423256789101112131415162019212223[SISA]</f>
        <v>225000</v>
      </c>
      <c r="L34" s="144">
        <f>Table2423256789101112131415162019212223[HARGA POKOK]*Table2423256789101112131415162019212223[STOK]</f>
        <v>220000</v>
      </c>
      <c r="M34" s="144">
        <f>Table2423256789101112131415162019212223[HARGA JUAL]*Table2423256789101112131415162019212223[STOK]</f>
        <v>360000</v>
      </c>
      <c r="N34" s="145"/>
    </row>
    <row r="35" spans="1:14" x14ac:dyDescent="0.25">
      <c r="A35" s="137">
        <v>31</v>
      </c>
      <c r="B35" s="138" t="s">
        <v>30</v>
      </c>
      <c r="C35" s="138" t="s">
        <v>60</v>
      </c>
      <c r="D35" s="140">
        <v>12500</v>
      </c>
      <c r="E35" s="140">
        <v>16000</v>
      </c>
      <c r="F35" s="141">
        <v>168</v>
      </c>
      <c r="G35" s="142">
        <v>142</v>
      </c>
      <c r="H35" s="141">
        <f>(Table2423256789101112131415162019212223[[#This Row],[STOK]]-Table2423256789101112131415162019212223[[#This Row],[TERJUAL]])</f>
        <v>26</v>
      </c>
      <c r="I35" s="143">
        <f>(Table2423256789101112131415162019212223[HARGA JUAL]*Table2423256789101112131415162019212223[TERJUAL])-(Table2423256789101112131415162019212223[HARGA POKOK]*Table2423256789101112131415162019212223[TERJUAL])</f>
        <v>497000</v>
      </c>
      <c r="J35" s="143">
        <f>(Table2423256789101112131415162019212223[HARGA JUAL]*Table2423256789101112131415162019212223[TERJUAL])</f>
        <v>2272000</v>
      </c>
      <c r="K35" s="143">
        <f>Table2423256789101112131415162019212223[HARGA JUAL]*Table2423256789101112131415162019212223[SISA]</f>
        <v>416000</v>
      </c>
      <c r="L35" s="144">
        <f>Table2423256789101112131415162019212223[HARGA POKOK]*Table2423256789101112131415162019212223[STOK]</f>
        <v>2100000</v>
      </c>
      <c r="M35" s="144">
        <f>Table2423256789101112131415162019212223[HARGA JUAL]*Table2423256789101112131415162019212223[STOK]</f>
        <v>2688000</v>
      </c>
      <c r="N35" s="145"/>
    </row>
    <row r="36" spans="1:14" x14ac:dyDescent="0.25">
      <c r="A36" s="137">
        <v>32</v>
      </c>
      <c r="B36" s="138" t="s">
        <v>30</v>
      </c>
      <c r="C36" s="138" t="s">
        <v>13</v>
      </c>
      <c r="D36" s="140">
        <v>36000</v>
      </c>
      <c r="E36" s="140">
        <v>50000</v>
      </c>
      <c r="F36" s="141">
        <v>48</v>
      </c>
      <c r="G36" s="142">
        <v>5</v>
      </c>
      <c r="H36" s="141">
        <f>(Table2423256789101112131415162019212223[[#This Row],[STOK]]-Table2423256789101112131415162019212223[[#This Row],[TERJUAL]])</f>
        <v>43</v>
      </c>
      <c r="I36" s="143">
        <f>(Table2423256789101112131415162019212223[HARGA JUAL]*Table2423256789101112131415162019212223[TERJUAL])-(Table2423256789101112131415162019212223[HARGA POKOK]*Table2423256789101112131415162019212223[TERJUAL])</f>
        <v>70000</v>
      </c>
      <c r="J36" s="143">
        <f>(Table2423256789101112131415162019212223[HARGA JUAL]*Table2423256789101112131415162019212223[TERJUAL])</f>
        <v>250000</v>
      </c>
      <c r="K36" s="143">
        <f>Table2423256789101112131415162019212223[HARGA JUAL]*Table2423256789101112131415162019212223[SISA]</f>
        <v>2150000</v>
      </c>
      <c r="L36" s="144">
        <f>Table2423256789101112131415162019212223[HARGA POKOK]*Table2423256789101112131415162019212223[STOK]</f>
        <v>1728000</v>
      </c>
      <c r="M36" s="144">
        <f>Table2423256789101112131415162019212223[HARGA JUAL]*Table2423256789101112131415162019212223[STOK]</f>
        <v>2400000</v>
      </c>
      <c r="N36" s="145"/>
    </row>
    <row r="37" spans="1:14" x14ac:dyDescent="0.25">
      <c r="A37" s="137">
        <v>33</v>
      </c>
      <c r="B37" s="138" t="s">
        <v>30</v>
      </c>
      <c r="C37" s="193" t="s">
        <v>14</v>
      </c>
      <c r="D37" s="140">
        <v>8500</v>
      </c>
      <c r="E37" s="140">
        <v>12000</v>
      </c>
      <c r="F37" s="141">
        <v>37</v>
      </c>
      <c r="G37" s="142">
        <v>31</v>
      </c>
      <c r="H37" s="141">
        <f>(Table2423256789101112131415162019212223[[#This Row],[STOK]]-Table2423256789101112131415162019212223[[#This Row],[TERJUAL]])</f>
        <v>6</v>
      </c>
      <c r="I37" s="143">
        <f>(Table2423256789101112131415162019212223[HARGA JUAL]*Table2423256789101112131415162019212223[TERJUAL])-(Table2423256789101112131415162019212223[HARGA POKOK]*Table2423256789101112131415162019212223[TERJUAL])</f>
        <v>108500</v>
      </c>
      <c r="J37" s="143">
        <f>(Table2423256789101112131415162019212223[HARGA JUAL]*Table2423256789101112131415162019212223[TERJUAL])</f>
        <v>372000</v>
      </c>
      <c r="K37" s="143">
        <f>Table2423256789101112131415162019212223[HARGA JUAL]*Table2423256789101112131415162019212223[SISA]</f>
        <v>72000</v>
      </c>
      <c r="L37" s="144">
        <f>Table2423256789101112131415162019212223[HARGA POKOK]*Table2423256789101112131415162019212223[STOK]</f>
        <v>314500</v>
      </c>
      <c r="M37" s="144">
        <f>Table2423256789101112131415162019212223[HARGA JUAL]*Table2423256789101112131415162019212223[STOK]</f>
        <v>444000</v>
      </c>
      <c r="N37" s="145"/>
    </row>
    <row r="38" spans="1:14" x14ac:dyDescent="0.25">
      <c r="A38" s="137">
        <v>34</v>
      </c>
      <c r="B38" s="138" t="s">
        <v>30</v>
      </c>
      <c r="C38" s="138" t="s">
        <v>15</v>
      </c>
      <c r="D38" s="140">
        <v>33000</v>
      </c>
      <c r="E38" s="140">
        <v>45000</v>
      </c>
      <c r="F38" s="141">
        <v>48</v>
      </c>
      <c r="G38" s="142"/>
      <c r="H38" s="141">
        <f>(Table2423256789101112131415162019212223[[#This Row],[STOK]]-Table2423256789101112131415162019212223[[#This Row],[TERJUAL]])</f>
        <v>48</v>
      </c>
      <c r="I38" s="143">
        <f>(Table2423256789101112131415162019212223[HARGA JUAL]*Table2423256789101112131415162019212223[TERJUAL])-(Table2423256789101112131415162019212223[HARGA POKOK]*Table2423256789101112131415162019212223[TERJUAL])</f>
        <v>0</v>
      </c>
      <c r="J38" s="143">
        <f>(Table2423256789101112131415162019212223[HARGA JUAL]*Table2423256789101112131415162019212223[TERJUAL])</f>
        <v>0</v>
      </c>
      <c r="K38" s="143">
        <f>Table2423256789101112131415162019212223[HARGA JUAL]*Table2423256789101112131415162019212223[SISA]</f>
        <v>2160000</v>
      </c>
      <c r="L38" s="144">
        <f>Table2423256789101112131415162019212223[HARGA POKOK]*Table2423256789101112131415162019212223[STOK]</f>
        <v>1584000</v>
      </c>
      <c r="M38" s="144">
        <f>Table2423256789101112131415162019212223[HARGA JUAL]*Table2423256789101112131415162019212223[STOK]</f>
        <v>2160000</v>
      </c>
      <c r="N38" s="145"/>
    </row>
    <row r="39" spans="1:14" x14ac:dyDescent="0.25">
      <c r="A39" s="137">
        <v>35</v>
      </c>
      <c r="B39" s="138" t="s">
        <v>30</v>
      </c>
      <c r="C39" s="138" t="s">
        <v>16</v>
      </c>
      <c r="D39" s="140">
        <v>7500</v>
      </c>
      <c r="E39" s="140">
        <v>10000</v>
      </c>
      <c r="F39" s="141">
        <v>10</v>
      </c>
      <c r="G39" s="142">
        <v>22</v>
      </c>
      <c r="H39" s="141">
        <f>(Table2423256789101112131415162019212223[[#This Row],[STOK]]-Table2423256789101112131415162019212223[[#This Row],[TERJUAL]])</f>
        <v>-12</v>
      </c>
      <c r="I39" s="143">
        <f>(Table2423256789101112131415162019212223[HARGA JUAL]*Table2423256789101112131415162019212223[TERJUAL])-(Table2423256789101112131415162019212223[HARGA POKOK]*Table2423256789101112131415162019212223[TERJUAL])</f>
        <v>55000</v>
      </c>
      <c r="J39" s="143">
        <f>(Table2423256789101112131415162019212223[HARGA JUAL]*Table2423256789101112131415162019212223[TERJUAL])</f>
        <v>220000</v>
      </c>
      <c r="K39" s="143">
        <f>Table2423256789101112131415162019212223[HARGA JUAL]*Table2423256789101112131415162019212223[SISA]</f>
        <v>-120000</v>
      </c>
      <c r="L39" s="144">
        <f>Table2423256789101112131415162019212223[HARGA POKOK]*Table2423256789101112131415162019212223[STOK]</f>
        <v>75000</v>
      </c>
      <c r="M39" s="144">
        <f>Table2423256789101112131415162019212223[HARGA JUAL]*Table2423256789101112131415162019212223[STOK]</f>
        <v>100000</v>
      </c>
      <c r="N39" s="145"/>
    </row>
    <row r="40" spans="1:14" x14ac:dyDescent="0.25">
      <c r="A40" s="137">
        <v>36</v>
      </c>
      <c r="B40" s="138" t="s">
        <v>35</v>
      </c>
      <c r="C40" s="138" t="s">
        <v>36</v>
      </c>
      <c r="D40" s="140">
        <v>51500</v>
      </c>
      <c r="E40" s="140">
        <v>65000</v>
      </c>
      <c r="F40" s="141">
        <v>3</v>
      </c>
      <c r="G40" s="142"/>
      <c r="H40" s="141">
        <f>(Table2423256789101112131415162019212223[[#This Row],[STOK]]-Table2423256789101112131415162019212223[[#This Row],[TERJUAL]])</f>
        <v>3</v>
      </c>
      <c r="I40" s="143">
        <f>(Table2423256789101112131415162019212223[HARGA JUAL]*Table2423256789101112131415162019212223[TERJUAL])-(Table2423256789101112131415162019212223[HARGA POKOK]*Table2423256789101112131415162019212223[TERJUAL])</f>
        <v>0</v>
      </c>
      <c r="J40" s="143">
        <f>(Table2423256789101112131415162019212223[HARGA JUAL]*Table2423256789101112131415162019212223[TERJUAL])</f>
        <v>0</v>
      </c>
      <c r="K40" s="143">
        <f>Table2423256789101112131415162019212223[HARGA JUAL]*Table2423256789101112131415162019212223[SISA]</f>
        <v>195000</v>
      </c>
      <c r="L40" s="144">
        <f>Table2423256789101112131415162019212223[HARGA POKOK]*Table2423256789101112131415162019212223[STOK]</f>
        <v>154500</v>
      </c>
      <c r="M40" s="144">
        <f>Table2423256789101112131415162019212223[HARGA JUAL]*Table2423256789101112131415162019212223[STOK]</f>
        <v>195000</v>
      </c>
      <c r="N40" s="145"/>
    </row>
    <row r="41" spans="1:14" x14ac:dyDescent="0.25">
      <c r="A41" s="137">
        <v>37</v>
      </c>
      <c r="B41" s="138" t="s">
        <v>35</v>
      </c>
      <c r="C41" s="138" t="s">
        <v>175</v>
      </c>
      <c r="D41" s="140">
        <v>27500</v>
      </c>
      <c r="E41" s="140">
        <v>40000</v>
      </c>
      <c r="F41" s="141">
        <v>62</v>
      </c>
      <c r="G41" s="142">
        <v>4</v>
      </c>
      <c r="H41" s="141">
        <f>(Table2423256789101112131415162019212223[[#This Row],[STOK]]-Table2423256789101112131415162019212223[[#This Row],[TERJUAL]])</f>
        <v>58</v>
      </c>
      <c r="I41" s="143">
        <f>(Table2423256789101112131415162019212223[HARGA JUAL]*Table2423256789101112131415162019212223[TERJUAL])-(Table2423256789101112131415162019212223[HARGA POKOK]*Table2423256789101112131415162019212223[TERJUAL])</f>
        <v>50000</v>
      </c>
      <c r="J41" s="143">
        <f>(Table2423256789101112131415162019212223[HARGA JUAL]*Table2423256789101112131415162019212223[TERJUAL])</f>
        <v>160000</v>
      </c>
      <c r="K41" s="143">
        <f>Table2423256789101112131415162019212223[HARGA JUAL]*Table2423256789101112131415162019212223[SISA]</f>
        <v>2320000</v>
      </c>
      <c r="L41" s="144">
        <f>Table2423256789101112131415162019212223[HARGA POKOK]*Table2423256789101112131415162019212223[STOK]</f>
        <v>1705000</v>
      </c>
      <c r="M41" s="144">
        <f>Table2423256789101112131415162019212223[HARGA JUAL]*Table2423256789101112131415162019212223[STOK]</f>
        <v>2480000</v>
      </c>
      <c r="N41" s="145"/>
    </row>
    <row r="42" spans="1:14" x14ac:dyDescent="0.25">
      <c r="A42" s="137">
        <v>38</v>
      </c>
      <c r="B42" s="138" t="s">
        <v>31</v>
      </c>
      <c r="C42" s="138" t="s">
        <v>359</v>
      </c>
      <c r="D42" s="140">
        <v>16000</v>
      </c>
      <c r="E42" s="140">
        <v>22000</v>
      </c>
      <c r="F42" s="141">
        <v>10</v>
      </c>
      <c r="G42" s="142">
        <v>2</v>
      </c>
      <c r="H42" s="141">
        <f>(Table2423256789101112131415162019212223[[#This Row],[STOK]]-Table2423256789101112131415162019212223[[#This Row],[TERJUAL]])</f>
        <v>8</v>
      </c>
      <c r="I42" s="143">
        <f>(Table2423256789101112131415162019212223[HARGA JUAL]*Table2423256789101112131415162019212223[TERJUAL])-(Table2423256789101112131415162019212223[HARGA POKOK]*Table2423256789101112131415162019212223[TERJUAL])</f>
        <v>12000</v>
      </c>
      <c r="J42" s="143">
        <f>(Table2423256789101112131415162019212223[HARGA JUAL]*Table2423256789101112131415162019212223[TERJUAL])</f>
        <v>44000</v>
      </c>
      <c r="K42" s="143">
        <f>Table2423256789101112131415162019212223[HARGA JUAL]*Table2423256789101112131415162019212223[SISA]</f>
        <v>176000</v>
      </c>
      <c r="L42" s="144">
        <f>Table2423256789101112131415162019212223[HARGA POKOK]*Table2423256789101112131415162019212223[STOK]</f>
        <v>160000</v>
      </c>
      <c r="M42" s="144">
        <f>Table2423256789101112131415162019212223[HARGA JUAL]*Table2423256789101112131415162019212223[STOK]</f>
        <v>220000</v>
      </c>
      <c r="N42" s="145"/>
    </row>
    <row r="43" spans="1:14" x14ac:dyDescent="0.25">
      <c r="A43" s="137">
        <v>39</v>
      </c>
      <c r="B43" s="138" t="s">
        <v>31</v>
      </c>
      <c r="C43" s="138" t="s">
        <v>180</v>
      </c>
      <c r="D43" s="140">
        <v>21500</v>
      </c>
      <c r="E43" s="140">
        <v>40000</v>
      </c>
      <c r="F43" s="141">
        <v>35</v>
      </c>
      <c r="G43" s="142">
        <v>4</v>
      </c>
      <c r="H43" s="141">
        <f>(Table2423256789101112131415162019212223[[#This Row],[STOK]]-Table2423256789101112131415162019212223[[#This Row],[TERJUAL]])</f>
        <v>31</v>
      </c>
      <c r="I43" s="143">
        <f>(Table2423256789101112131415162019212223[HARGA JUAL]*Table2423256789101112131415162019212223[TERJUAL])-(Table2423256789101112131415162019212223[HARGA POKOK]*Table2423256789101112131415162019212223[TERJUAL])</f>
        <v>74000</v>
      </c>
      <c r="J43" s="143">
        <f>(Table2423256789101112131415162019212223[HARGA JUAL]*Table2423256789101112131415162019212223[TERJUAL])</f>
        <v>160000</v>
      </c>
      <c r="K43" s="143">
        <f>Table2423256789101112131415162019212223[HARGA JUAL]*Table2423256789101112131415162019212223[SISA]</f>
        <v>1240000</v>
      </c>
      <c r="L43" s="144">
        <f>Table2423256789101112131415162019212223[HARGA POKOK]*Table2423256789101112131415162019212223[STOK]</f>
        <v>752500</v>
      </c>
      <c r="M43" s="144">
        <f>Table2423256789101112131415162019212223[HARGA JUAL]*Table2423256789101112131415162019212223[STOK]</f>
        <v>1400000</v>
      </c>
      <c r="N43" s="145"/>
    </row>
    <row r="44" spans="1:14" x14ac:dyDescent="0.25">
      <c r="A44" s="137">
        <v>40</v>
      </c>
      <c r="B44" s="138" t="s">
        <v>31</v>
      </c>
      <c r="C44" s="138" t="s">
        <v>62</v>
      </c>
      <c r="D44" s="140">
        <v>25000</v>
      </c>
      <c r="E44" s="140">
        <v>15000</v>
      </c>
      <c r="F44" s="141"/>
      <c r="G44" s="142"/>
      <c r="H44" s="141">
        <f>(Table2423256789101112131415162019212223[[#This Row],[STOK]]-Table2423256789101112131415162019212223[[#This Row],[TERJUAL]])</f>
        <v>0</v>
      </c>
      <c r="I44" s="143">
        <f>(Table2423256789101112131415162019212223[HARGA JUAL]*Table2423256789101112131415162019212223[TERJUAL])-(Table2423256789101112131415162019212223[HARGA POKOK]*Table2423256789101112131415162019212223[TERJUAL])</f>
        <v>0</v>
      </c>
      <c r="J44" s="143">
        <f>(Table2423256789101112131415162019212223[HARGA JUAL]*Table2423256789101112131415162019212223[TERJUAL])</f>
        <v>0</v>
      </c>
      <c r="K44" s="143">
        <f>Table2423256789101112131415162019212223[HARGA JUAL]*Table2423256789101112131415162019212223[SISA]</f>
        <v>0</v>
      </c>
      <c r="L44" s="144">
        <f>Table2423256789101112131415162019212223[HARGA POKOK]*Table2423256789101112131415162019212223[STOK]</f>
        <v>0</v>
      </c>
      <c r="M44" s="144">
        <f>Table2423256789101112131415162019212223[HARGA JUAL]*Table2423256789101112131415162019212223[STOK]</f>
        <v>0</v>
      </c>
      <c r="N44" s="145"/>
    </row>
    <row r="45" spans="1:14" x14ac:dyDescent="0.25">
      <c r="A45" s="137">
        <v>41</v>
      </c>
      <c r="B45" s="138" t="s">
        <v>31</v>
      </c>
      <c r="C45" s="138" t="s">
        <v>181</v>
      </c>
      <c r="D45" s="140">
        <v>34500</v>
      </c>
      <c r="E45" s="140">
        <v>40000</v>
      </c>
      <c r="F45" s="141">
        <v>102</v>
      </c>
      <c r="G45" s="142"/>
      <c r="H45" s="141">
        <f>(Table2423256789101112131415162019212223[[#This Row],[STOK]]-Table2423256789101112131415162019212223[[#This Row],[TERJUAL]])</f>
        <v>102</v>
      </c>
      <c r="I45" s="143">
        <f>(Table2423256789101112131415162019212223[HARGA JUAL]*Table2423256789101112131415162019212223[TERJUAL])-(Table2423256789101112131415162019212223[HARGA POKOK]*Table2423256789101112131415162019212223[TERJUAL])</f>
        <v>0</v>
      </c>
      <c r="J45" s="143">
        <f>(Table2423256789101112131415162019212223[HARGA JUAL]*Table2423256789101112131415162019212223[TERJUAL])</f>
        <v>0</v>
      </c>
      <c r="K45" s="143">
        <f>Table2423256789101112131415162019212223[HARGA JUAL]*Table2423256789101112131415162019212223[SISA]</f>
        <v>4080000</v>
      </c>
      <c r="L45" s="144">
        <f>Table2423256789101112131415162019212223[HARGA POKOK]*Table2423256789101112131415162019212223[STOK]</f>
        <v>3519000</v>
      </c>
      <c r="M45" s="144">
        <f>Table2423256789101112131415162019212223[HARGA JUAL]*Table2423256789101112131415162019212223[STOK]</f>
        <v>4080000</v>
      </c>
      <c r="N45" s="145"/>
    </row>
    <row r="46" spans="1:14" x14ac:dyDescent="0.25">
      <c r="A46" s="137">
        <v>42</v>
      </c>
      <c r="B46" s="138" t="s">
        <v>31</v>
      </c>
      <c r="C46" s="138" t="s">
        <v>64</v>
      </c>
      <c r="D46" s="140">
        <v>24000</v>
      </c>
      <c r="E46" s="140">
        <v>40000</v>
      </c>
      <c r="F46" s="141"/>
      <c r="G46" s="142"/>
      <c r="H46" s="141">
        <f>(Table2423256789101112131415162019212223[[#This Row],[STOK]]-Table2423256789101112131415162019212223[[#This Row],[TERJUAL]])</f>
        <v>0</v>
      </c>
      <c r="I46" s="143">
        <f>(Table2423256789101112131415162019212223[HARGA JUAL]*Table2423256789101112131415162019212223[TERJUAL])-(Table2423256789101112131415162019212223[HARGA POKOK]*Table2423256789101112131415162019212223[TERJUAL])</f>
        <v>0</v>
      </c>
      <c r="J46" s="143">
        <f>(Table2423256789101112131415162019212223[HARGA JUAL]*Table2423256789101112131415162019212223[TERJUAL])</f>
        <v>0</v>
      </c>
      <c r="K46" s="143">
        <f>Table2423256789101112131415162019212223[HARGA JUAL]*Table2423256789101112131415162019212223[SISA]</f>
        <v>0</v>
      </c>
      <c r="L46" s="144">
        <f>Table2423256789101112131415162019212223[HARGA POKOK]*Table2423256789101112131415162019212223[STOK]</f>
        <v>0</v>
      </c>
      <c r="M46" s="144">
        <f>Table2423256789101112131415162019212223[HARGA JUAL]*Table2423256789101112131415162019212223[STOK]</f>
        <v>0</v>
      </c>
      <c r="N46" s="145"/>
    </row>
    <row r="47" spans="1:14" x14ac:dyDescent="0.25">
      <c r="A47" s="137">
        <v>43</v>
      </c>
      <c r="B47" s="138" t="s">
        <v>31</v>
      </c>
      <c r="C47" s="138" t="s">
        <v>322</v>
      </c>
      <c r="D47" s="140">
        <v>30000</v>
      </c>
      <c r="E47" s="140">
        <v>40000</v>
      </c>
      <c r="F47" s="141"/>
      <c r="G47" s="142"/>
      <c r="H47" s="141">
        <f>(Table2423256789101112131415162019212223[[#This Row],[STOK]]-Table2423256789101112131415162019212223[[#This Row],[TERJUAL]])</f>
        <v>0</v>
      </c>
      <c r="I47" s="143">
        <f>(Table2423256789101112131415162019212223[HARGA JUAL]*Table2423256789101112131415162019212223[TERJUAL])-(Table2423256789101112131415162019212223[HARGA POKOK]*Table2423256789101112131415162019212223[TERJUAL])</f>
        <v>0</v>
      </c>
      <c r="J47" s="143">
        <f>(Table2423256789101112131415162019212223[HARGA JUAL]*Table2423256789101112131415162019212223[TERJUAL])</f>
        <v>0</v>
      </c>
      <c r="K47" s="143">
        <f>Table2423256789101112131415162019212223[HARGA JUAL]*Table2423256789101112131415162019212223[SISA]</f>
        <v>0</v>
      </c>
      <c r="L47" s="144">
        <f>Table2423256789101112131415162019212223[HARGA POKOK]*Table2423256789101112131415162019212223[STOK]</f>
        <v>0</v>
      </c>
      <c r="M47" s="144">
        <f>Table2423256789101112131415162019212223[HARGA JUAL]*Table2423256789101112131415162019212223[STOK]</f>
        <v>0</v>
      </c>
      <c r="N47" s="145"/>
    </row>
    <row r="48" spans="1:14" x14ac:dyDescent="0.25">
      <c r="A48" s="137">
        <v>44</v>
      </c>
      <c r="B48" s="138" t="s">
        <v>31</v>
      </c>
      <c r="C48" s="138" t="s">
        <v>319</v>
      </c>
      <c r="D48" s="140">
        <v>63000</v>
      </c>
      <c r="E48" s="140">
        <v>75000</v>
      </c>
      <c r="F48" s="141">
        <v>2</v>
      </c>
      <c r="G48" s="142">
        <v>1</v>
      </c>
      <c r="H48" s="141">
        <f>(Table2423256789101112131415162019212223[[#This Row],[STOK]]-Table2423256789101112131415162019212223[[#This Row],[TERJUAL]])</f>
        <v>1</v>
      </c>
      <c r="I48" s="143">
        <f>(Table2423256789101112131415162019212223[HARGA JUAL]*Table2423256789101112131415162019212223[TERJUAL])-(Table2423256789101112131415162019212223[HARGA POKOK]*Table2423256789101112131415162019212223[TERJUAL])</f>
        <v>12000</v>
      </c>
      <c r="J48" s="143">
        <f>(Table2423256789101112131415162019212223[HARGA JUAL]*Table2423256789101112131415162019212223[TERJUAL])</f>
        <v>75000</v>
      </c>
      <c r="K48" s="143">
        <f>Table2423256789101112131415162019212223[HARGA JUAL]*Table2423256789101112131415162019212223[SISA]</f>
        <v>75000</v>
      </c>
      <c r="L48" s="144">
        <f>Table2423256789101112131415162019212223[HARGA POKOK]*Table2423256789101112131415162019212223[STOK]</f>
        <v>126000</v>
      </c>
      <c r="M48" s="144">
        <f>Table2423256789101112131415162019212223[HARGA JUAL]*Table2423256789101112131415162019212223[STOK]</f>
        <v>150000</v>
      </c>
      <c r="N48" s="145"/>
    </row>
    <row r="49" spans="1:14" x14ac:dyDescent="0.25">
      <c r="A49" s="137">
        <v>45</v>
      </c>
      <c r="B49" s="138" t="s">
        <v>31</v>
      </c>
      <c r="C49" s="138" t="s">
        <v>343</v>
      </c>
      <c r="D49" s="140">
        <v>30000</v>
      </c>
      <c r="E49" s="140">
        <v>35000</v>
      </c>
      <c r="F49" s="141">
        <v>2</v>
      </c>
      <c r="G49" s="142"/>
      <c r="H49" s="141">
        <f>(Table2423256789101112131415162019212223[[#This Row],[STOK]]-Table2423256789101112131415162019212223[[#This Row],[TERJUAL]])</f>
        <v>2</v>
      </c>
      <c r="I49" s="143">
        <f>(Table2423256789101112131415162019212223[HARGA JUAL]*Table2423256789101112131415162019212223[TERJUAL])-(Table2423256789101112131415162019212223[HARGA POKOK]*Table2423256789101112131415162019212223[TERJUAL])</f>
        <v>0</v>
      </c>
      <c r="J49" s="143">
        <f>(Table2423256789101112131415162019212223[HARGA JUAL]*Table2423256789101112131415162019212223[TERJUAL])</f>
        <v>0</v>
      </c>
      <c r="K49" s="143">
        <f>Table2423256789101112131415162019212223[HARGA JUAL]*Table2423256789101112131415162019212223[SISA]</f>
        <v>70000</v>
      </c>
      <c r="L49" s="144">
        <f>Table2423256789101112131415162019212223[HARGA POKOK]*Table2423256789101112131415162019212223[STOK]</f>
        <v>60000</v>
      </c>
      <c r="M49" s="144">
        <f>Table2423256789101112131415162019212223[HARGA JUAL]*Table2423256789101112131415162019212223[STOK]</f>
        <v>70000</v>
      </c>
      <c r="N49" s="145"/>
    </row>
    <row r="50" spans="1:14" x14ac:dyDescent="0.25">
      <c r="A50" s="137">
        <v>46</v>
      </c>
      <c r="B50" s="138" t="s">
        <v>31</v>
      </c>
      <c r="C50" s="138" t="s">
        <v>67</v>
      </c>
      <c r="D50" s="140">
        <v>41000</v>
      </c>
      <c r="E50" s="140">
        <v>46000</v>
      </c>
      <c r="F50" s="141">
        <v>8</v>
      </c>
      <c r="G50" s="142">
        <v>11</v>
      </c>
      <c r="H50" s="141">
        <f>(Table2423256789101112131415162019212223[[#This Row],[STOK]]-Table2423256789101112131415162019212223[[#This Row],[TERJUAL]])</f>
        <v>-3</v>
      </c>
      <c r="I50" s="143">
        <f>(Table2423256789101112131415162019212223[HARGA JUAL]*Table2423256789101112131415162019212223[TERJUAL])-(Table2423256789101112131415162019212223[HARGA POKOK]*Table2423256789101112131415162019212223[TERJUAL])</f>
        <v>55000</v>
      </c>
      <c r="J50" s="143">
        <f>(Table2423256789101112131415162019212223[HARGA JUAL]*Table2423256789101112131415162019212223[TERJUAL])</f>
        <v>506000</v>
      </c>
      <c r="K50" s="143">
        <f>Table2423256789101112131415162019212223[HARGA JUAL]*Table2423256789101112131415162019212223[SISA]</f>
        <v>-138000</v>
      </c>
      <c r="L50" s="144">
        <f>Table2423256789101112131415162019212223[HARGA POKOK]*Table2423256789101112131415162019212223[STOK]</f>
        <v>328000</v>
      </c>
      <c r="M50" s="144">
        <f>Table2423256789101112131415162019212223[HARGA JUAL]*Table2423256789101112131415162019212223[STOK]</f>
        <v>368000</v>
      </c>
      <c r="N50" s="145"/>
    </row>
    <row r="51" spans="1:14" x14ac:dyDescent="0.25">
      <c r="A51" s="137">
        <v>47</v>
      </c>
      <c r="B51" s="138" t="s">
        <v>31</v>
      </c>
      <c r="C51" s="138" t="s">
        <v>309</v>
      </c>
      <c r="D51" s="140">
        <v>30000</v>
      </c>
      <c r="E51" s="140">
        <v>45000</v>
      </c>
      <c r="F51" s="141"/>
      <c r="G51" s="142"/>
      <c r="H51" s="141">
        <f>(Table2423256789101112131415162019212223[[#This Row],[STOK]]-Table2423256789101112131415162019212223[[#This Row],[TERJUAL]])</f>
        <v>0</v>
      </c>
      <c r="I51" s="143">
        <f>(Table2423256789101112131415162019212223[HARGA JUAL]*Table2423256789101112131415162019212223[TERJUAL])-(Table2423256789101112131415162019212223[HARGA POKOK]*Table2423256789101112131415162019212223[TERJUAL])</f>
        <v>0</v>
      </c>
      <c r="J51" s="143">
        <f>(Table2423256789101112131415162019212223[HARGA JUAL]*Table2423256789101112131415162019212223[TERJUAL])</f>
        <v>0</v>
      </c>
      <c r="K51" s="143">
        <f>Table2423256789101112131415162019212223[HARGA JUAL]*Table2423256789101112131415162019212223[SISA]</f>
        <v>0</v>
      </c>
      <c r="L51" s="144">
        <f>Table2423256789101112131415162019212223[HARGA POKOK]*Table2423256789101112131415162019212223[STOK]</f>
        <v>0</v>
      </c>
      <c r="M51" s="144">
        <f>Table2423256789101112131415162019212223[HARGA JUAL]*Table2423256789101112131415162019212223[STOK]</f>
        <v>0</v>
      </c>
      <c r="N51" s="145"/>
    </row>
    <row r="52" spans="1:14" x14ac:dyDescent="0.25">
      <c r="A52" s="137">
        <v>48</v>
      </c>
      <c r="B52" s="138" t="s">
        <v>31</v>
      </c>
      <c r="C52" s="138" t="s">
        <v>324</v>
      </c>
      <c r="D52" s="140">
        <v>190000</v>
      </c>
      <c r="E52" s="140">
        <v>200000</v>
      </c>
      <c r="F52" s="141">
        <v>1</v>
      </c>
      <c r="G52" s="142"/>
      <c r="H52" s="141">
        <f>(Table2423256789101112131415162019212223[[#This Row],[STOK]]-Table2423256789101112131415162019212223[[#This Row],[TERJUAL]])</f>
        <v>1</v>
      </c>
      <c r="I52" s="143">
        <f>(Table2423256789101112131415162019212223[HARGA JUAL]*Table2423256789101112131415162019212223[TERJUAL])-(Table2423256789101112131415162019212223[HARGA POKOK]*Table2423256789101112131415162019212223[TERJUAL])</f>
        <v>0</v>
      </c>
      <c r="J52" s="143">
        <f>(Table2423256789101112131415162019212223[HARGA JUAL]*Table2423256789101112131415162019212223[TERJUAL])</f>
        <v>0</v>
      </c>
      <c r="K52" s="143">
        <f>Table2423256789101112131415162019212223[HARGA JUAL]*Table2423256789101112131415162019212223[SISA]</f>
        <v>200000</v>
      </c>
      <c r="L52" s="144">
        <f>Table2423256789101112131415162019212223[HARGA POKOK]*Table2423256789101112131415162019212223[STOK]</f>
        <v>190000</v>
      </c>
      <c r="M52" s="144">
        <f>Table2423256789101112131415162019212223[HARGA JUAL]*Table2423256789101112131415162019212223[STOK]</f>
        <v>200000</v>
      </c>
      <c r="N52" s="145"/>
    </row>
    <row r="53" spans="1:14" x14ac:dyDescent="0.25">
      <c r="A53" s="137">
        <v>49</v>
      </c>
      <c r="B53" s="138" t="s">
        <v>31</v>
      </c>
      <c r="C53" s="138" t="s">
        <v>139</v>
      </c>
      <c r="D53" s="140">
        <v>16000</v>
      </c>
      <c r="E53" s="140">
        <v>25000</v>
      </c>
      <c r="F53" s="141"/>
      <c r="G53" s="142"/>
      <c r="H53" s="141">
        <f>(Table2423256789101112131415162019212223[[#This Row],[STOK]]-Table2423256789101112131415162019212223[[#This Row],[TERJUAL]])</f>
        <v>0</v>
      </c>
      <c r="I53" s="143">
        <f>(Table2423256789101112131415162019212223[HARGA JUAL]*Table2423256789101112131415162019212223[TERJUAL])-(Table2423256789101112131415162019212223[HARGA POKOK]*Table2423256789101112131415162019212223[TERJUAL])</f>
        <v>0</v>
      </c>
      <c r="J53" s="143">
        <f>(Table2423256789101112131415162019212223[HARGA JUAL]*Table2423256789101112131415162019212223[TERJUAL])</f>
        <v>0</v>
      </c>
      <c r="K53" s="143">
        <f>Table2423256789101112131415162019212223[HARGA JUAL]*Table2423256789101112131415162019212223[SISA]</f>
        <v>0</v>
      </c>
      <c r="L53" s="144">
        <f>Table2423256789101112131415162019212223[HARGA POKOK]*Table2423256789101112131415162019212223[STOK]</f>
        <v>0</v>
      </c>
      <c r="M53" s="144">
        <f>Table2423256789101112131415162019212223[HARGA JUAL]*Table2423256789101112131415162019212223[STOK]</f>
        <v>0</v>
      </c>
      <c r="N53" s="145"/>
    </row>
    <row r="54" spans="1:14" x14ac:dyDescent="0.25">
      <c r="A54" s="137">
        <v>50</v>
      </c>
      <c r="B54" s="138" t="s">
        <v>31</v>
      </c>
      <c r="C54" s="138" t="s">
        <v>320</v>
      </c>
      <c r="D54" s="140">
        <v>34000</v>
      </c>
      <c r="E54" s="140">
        <v>40000</v>
      </c>
      <c r="F54" s="141">
        <v>8</v>
      </c>
      <c r="G54" s="142">
        <v>3</v>
      </c>
      <c r="H54" s="141">
        <f>(Table2423256789101112131415162019212223[[#This Row],[STOK]]-Table2423256789101112131415162019212223[[#This Row],[TERJUAL]])</f>
        <v>5</v>
      </c>
      <c r="I54" s="143">
        <f>(Table2423256789101112131415162019212223[HARGA JUAL]*Table2423256789101112131415162019212223[TERJUAL])-(Table2423256789101112131415162019212223[HARGA POKOK]*Table2423256789101112131415162019212223[TERJUAL])</f>
        <v>18000</v>
      </c>
      <c r="J54" s="143">
        <f>(Table2423256789101112131415162019212223[HARGA JUAL]*Table2423256789101112131415162019212223[TERJUAL])</f>
        <v>120000</v>
      </c>
      <c r="K54" s="143">
        <f>Table2423256789101112131415162019212223[HARGA JUAL]*Table2423256789101112131415162019212223[SISA]</f>
        <v>200000</v>
      </c>
      <c r="L54" s="144">
        <f>Table2423256789101112131415162019212223[HARGA POKOK]*Table2423256789101112131415162019212223[STOK]</f>
        <v>272000</v>
      </c>
      <c r="M54" s="144">
        <f>Table2423256789101112131415162019212223[HARGA JUAL]*Table2423256789101112131415162019212223[STOK]</f>
        <v>320000</v>
      </c>
      <c r="N54" s="145"/>
    </row>
    <row r="55" spans="1:14" x14ac:dyDescent="0.25">
      <c r="A55" s="137">
        <v>51</v>
      </c>
      <c r="B55" s="138" t="s">
        <v>31</v>
      </c>
      <c r="C55" s="138" t="s">
        <v>141</v>
      </c>
      <c r="D55" s="140">
        <v>18000</v>
      </c>
      <c r="E55" s="140">
        <v>30000</v>
      </c>
      <c r="F55" s="141">
        <v>8</v>
      </c>
      <c r="G55" s="142">
        <v>8</v>
      </c>
      <c r="H55" s="141">
        <f>(Table2423256789101112131415162019212223[[#This Row],[STOK]]-Table2423256789101112131415162019212223[[#This Row],[TERJUAL]])</f>
        <v>0</v>
      </c>
      <c r="I55" s="143">
        <f>(Table2423256789101112131415162019212223[HARGA JUAL]*Table2423256789101112131415162019212223[TERJUAL])-(Table2423256789101112131415162019212223[HARGA POKOK]*Table2423256789101112131415162019212223[TERJUAL])</f>
        <v>96000</v>
      </c>
      <c r="J55" s="143">
        <f>(Table2423256789101112131415162019212223[HARGA JUAL]*Table2423256789101112131415162019212223[TERJUAL])</f>
        <v>240000</v>
      </c>
      <c r="K55" s="143">
        <f>Table2423256789101112131415162019212223[HARGA JUAL]*Table2423256789101112131415162019212223[SISA]</f>
        <v>0</v>
      </c>
      <c r="L55" s="144">
        <f>Table2423256789101112131415162019212223[HARGA POKOK]*Table2423256789101112131415162019212223[STOK]</f>
        <v>144000</v>
      </c>
      <c r="M55" s="144">
        <f>Table2423256789101112131415162019212223[HARGA JUAL]*Table2423256789101112131415162019212223[STOK]</f>
        <v>240000</v>
      </c>
      <c r="N55" s="145"/>
    </row>
    <row r="56" spans="1:14" x14ac:dyDescent="0.25">
      <c r="A56" s="137">
        <v>52</v>
      </c>
      <c r="B56" s="138" t="s">
        <v>31</v>
      </c>
      <c r="C56" s="193" t="s">
        <v>184</v>
      </c>
      <c r="D56" s="140">
        <v>12500</v>
      </c>
      <c r="E56" s="140">
        <v>30000</v>
      </c>
      <c r="F56" s="141">
        <v>70</v>
      </c>
      <c r="G56" s="142">
        <v>3</v>
      </c>
      <c r="H56" s="141">
        <f>(Table2423256789101112131415162019212223[[#This Row],[STOK]]-Table2423256789101112131415162019212223[[#This Row],[TERJUAL]])</f>
        <v>67</v>
      </c>
      <c r="I56" s="143">
        <f>(Table2423256789101112131415162019212223[HARGA JUAL]*Table2423256789101112131415162019212223[TERJUAL])-(Table2423256789101112131415162019212223[HARGA POKOK]*Table2423256789101112131415162019212223[TERJUAL])</f>
        <v>52500</v>
      </c>
      <c r="J56" s="143">
        <f>(Table2423256789101112131415162019212223[HARGA JUAL]*Table2423256789101112131415162019212223[TERJUAL])</f>
        <v>90000</v>
      </c>
      <c r="K56" s="143">
        <f>Table2423256789101112131415162019212223[HARGA JUAL]*Table2423256789101112131415162019212223[SISA]</f>
        <v>2010000</v>
      </c>
      <c r="L56" s="144">
        <f>Table2423256789101112131415162019212223[HARGA POKOK]*Table2423256789101112131415162019212223[STOK]</f>
        <v>875000</v>
      </c>
      <c r="M56" s="144">
        <f>Table2423256789101112131415162019212223[HARGA JUAL]*Table2423256789101112131415162019212223[STOK]</f>
        <v>2100000</v>
      </c>
      <c r="N56" s="145"/>
    </row>
    <row r="57" spans="1:14" x14ac:dyDescent="0.25">
      <c r="A57" s="137">
        <v>53</v>
      </c>
      <c r="B57" s="284" t="s">
        <v>31</v>
      </c>
      <c r="C57" s="284" t="s">
        <v>185</v>
      </c>
      <c r="D57" s="285">
        <v>28500</v>
      </c>
      <c r="E57" s="285">
        <v>10000</v>
      </c>
      <c r="F57" s="286">
        <v>9</v>
      </c>
      <c r="G57" s="287"/>
      <c r="H57" s="286">
        <f>(Table2423256789101112131415162019212223[[#This Row],[STOK]]-Table2423256789101112131415162019212223[[#This Row],[TERJUAL]])</f>
        <v>9</v>
      </c>
      <c r="I57" s="288">
        <f>(Table2423256789101112131415162019212223[HARGA JUAL]*Table2423256789101112131415162019212223[TERJUAL])-(Table2423256789101112131415162019212223[HARGA POKOK]*Table2423256789101112131415162019212223[TERJUAL])</f>
        <v>0</v>
      </c>
      <c r="J57" s="288">
        <f>(Table2423256789101112131415162019212223[HARGA JUAL]*Table2423256789101112131415162019212223[TERJUAL])</f>
        <v>0</v>
      </c>
      <c r="K57" s="288">
        <f>Table2423256789101112131415162019212223[HARGA JUAL]*Table2423256789101112131415162019212223[SISA]</f>
        <v>90000</v>
      </c>
      <c r="L57" s="289">
        <f>Table2423256789101112131415162019212223[HARGA POKOK]*Table2423256789101112131415162019212223[STOK]</f>
        <v>256500</v>
      </c>
      <c r="M57" s="289">
        <f>Table2423256789101112131415162019212223[HARGA JUAL]*Table2423256789101112131415162019212223[STOK]</f>
        <v>90000</v>
      </c>
      <c r="N57" s="290" t="s">
        <v>179</v>
      </c>
    </row>
    <row r="58" spans="1:14" x14ac:dyDescent="0.25">
      <c r="A58" s="137">
        <v>54</v>
      </c>
      <c r="B58" s="138" t="s">
        <v>31</v>
      </c>
      <c r="C58" s="138" t="s">
        <v>186</v>
      </c>
      <c r="D58" s="140">
        <v>48500</v>
      </c>
      <c r="E58" s="140">
        <v>65000</v>
      </c>
      <c r="F58" s="141">
        <v>3</v>
      </c>
      <c r="G58" s="142">
        <v>3</v>
      </c>
      <c r="H58" s="141">
        <f>(Table2423256789101112131415162019212223[[#This Row],[STOK]]-Table2423256789101112131415162019212223[[#This Row],[TERJUAL]])</f>
        <v>0</v>
      </c>
      <c r="I58" s="143">
        <f>(Table2423256789101112131415162019212223[HARGA JUAL]*Table2423256789101112131415162019212223[TERJUAL])-(Table2423256789101112131415162019212223[HARGA POKOK]*Table2423256789101112131415162019212223[TERJUAL])</f>
        <v>49500</v>
      </c>
      <c r="J58" s="143">
        <f>(Table2423256789101112131415162019212223[HARGA JUAL]*Table2423256789101112131415162019212223[TERJUAL])</f>
        <v>195000</v>
      </c>
      <c r="K58" s="143">
        <f>Table2423256789101112131415162019212223[HARGA JUAL]*Table2423256789101112131415162019212223[SISA]</f>
        <v>0</v>
      </c>
      <c r="L58" s="144">
        <f>Table2423256789101112131415162019212223[HARGA POKOK]*Table2423256789101112131415162019212223[STOK]</f>
        <v>145500</v>
      </c>
      <c r="M58" s="144">
        <f>Table2423256789101112131415162019212223[HARGA JUAL]*Table2423256789101112131415162019212223[STOK]</f>
        <v>195000</v>
      </c>
      <c r="N58" s="145"/>
    </row>
    <row r="59" spans="1:14" x14ac:dyDescent="0.25">
      <c r="A59" s="137">
        <v>55</v>
      </c>
      <c r="B59" s="138" t="s">
        <v>31</v>
      </c>
      <c r="C59" s="138" t="s">
        <v>187</v>
      </c>
      <c r="D59" s="140">
        <v>47000</v>
      </c>
      <c r="E59" s="140">
        <v>65000</v>
      </c>
      <c r="F59" s="141">
        <v>46</v>
      </c>
      <c r="G59" s="142">
        <v>1</v>
      </c>
      <c r="H59" s="141">
        <f>(Table2423256789101112131415162019212223[[#This Row],[STOK]]-Table2423256789101112131415162019212223[[#This Row],[TERJUAL]])</f>
        <v>45</v>
      </c>
      <c r="I59" s="143">
        <f>(Table2423256789101112131415162019212223[HARGA JUAL]*Table2423256789101112131415162019212223[TERJUAL])-(Table2423256789101112131415162019212223[HARGA POKOK]*Table2423256789101112131415162019212223[TERJUAL])</f>
        <v>18000</v>
      </c>
      <c r="J59" s="143">
        <f>(Table2423256789101112131415162019212223[HARGA JUAL]*Table2423256789101112131415162019212223[TERJUAL])</f>
        <v>65000</v>
      </c>
      <c r="K59" s="143">
        <f>Table2423256789101112131415162019212223[HARGA JUAL]*Table2423256789101112131415162019212223[SISA]</f>
        <v>2925000</v>
      </c>
      <c r="L59" s="144">
        <f>Table2423256789101112131415162019212223[HARGA POKOK]*Table2423256789101112131415162019212223[STOK]</f>
        <v>2162000</v>
      </c>
      <c r="M59" s="144">
        <f>Table2423256789101112131415162019212223[HARGA JUAL]*Table2423256789101112131415162019212223[STOK]</f>
        <v>2990000</v>
      </c>
      <c r="N59" s="145"/>
    </row>
    <row r="60" spans="1:14" x14ac:dyDescent="0.25">
      <c r="A60" s="137">
        <v>56</v>
      </c>
      <c r="B60" s="138" t="s">
        <v>32</v>
      </c>
      <c r="C60" s="193" t="s">
        <v>18</v>
      </c>
      <c r="D60" s="140">
        <v>1700</v>
      </c>
      <c r="E60" s="140">
        <v>5000</v>
      </c>
      <c r="F60" s="141">
        <v>30</v>
      </c>
      <c r="G60" s="142">
        <v>22</v>
      </c>
      <c r="H60" s="141">
        <f>(Table2423256789101112131415162019212223[[#This Row],[STOK]]-Table2423256789101112131415162019212223[[#This Row],[TERJUAL]])</f>
        <v>8</v>
      </c>
      <c r="I60" s="143">
        <f>(Table2423256789101112131415162019212223[HARGA JUAL]*Table2423256789101112131415162019212223[TERJUAL])-(Table2423256789101112131415162019212223[HARGA POKOK]*Table2423256789101112131415162019212223[TERJUAL])</f>
        <v>72600</v>
      </c>
      <c r="J60" s="143">
        <f>(Table2423256789101112131415162019212223[HARGA JUAL]*Table2423256789101112131415162019212223[TERJUAL])</f>
        <v>110000</v>
      </c>
      <c r="K60" s="143">
        <f>Table2423256789101112131415162019212223[HARGA JUAL]*Table2423256789101112131415162019212223[SISA]</f>
        <v>40000</v>
      </c>
      <c r="L60" s="144">
        <f>Table2423256789101112131415162019212223[HARGA POKOK]*Table2423256789101112131415162019212223[STOK]</f>
        <v>51000</v>
      </c>
      <c r="M60" s="144">
        <f>Table2423256789101112131415162019212223[HARGA JUAL]*Table2423256789101112131415162019212223[STOK]</f>
        <v>150000</v>
      </c>
      <c r="N60" s="145"/>
    </row>
    <row r="61" spans="1:14" x14ac:dyDescent="0.25">
      <c r="A61" s="137">
        <v>57</v>
      </c>
      <c r="B61" s="138" t="s">
        <v>32</v>
      </c>
      <c r="C61" s="138" t="s">
        <v>21</v>
      </c>
      <c r="D61" s="140">
        <v>30000</v>
      </c>
      <c r="E61" s="140">
        <v>45000</v>
      </c>
      <c r="F61" s="141"/>
      <c r="G61" s="142"/>
      <c r="H61" s="141">
        <f>(Table2423256789101112131415162019212223[[#This Row],[STOK]]-Table2423256789101112131415162019212223[[#This Row],[TERJUAL]])</f>
        <v>0</v>
      </c>
      <c r="I61" s="143">
        <f>(Table2423256789101112131415162019212223[HARGA JUAL]*Table2423256789101112131415162019212223[TERJUAL])-(Table2423256789101112131415162019212223[HARGA POKOK]*Table2423256789101112131415162019212223[TERJUAL])</f>
        <v>0</v>
      </c>
      <c r="J61" s="143">
        <f>(Table2423256789101112131415162019212223[HARGA JUAL]*Table2423256789101112131415162019212223[TERJUAL])</f>
        <v>0</v>
      </c>
      <c r="K61" s="143">
        <f>Table2423256789101112131415162019212223[HARGA JUAL]*Table2423256789101112131415162019212223[SISA]</f>
        <v>0</v>
      </c>
      <c r="L61" s="144">
        <f>Table2423256789101112131415162019212223[HARGA POKOK]*Table2423256789101112131415162019212223[STOK]</f>
        <v>0</v>
      </c>
      <c r="M61" s="144">
        <f>Table2423256789101112131415162019212223[HARGA JUAL]*Table2423256789101112131415162019212223[STOK]</f>
        <v>0</v>
      </c>
      <c r="N61" s="145"/>
    </row>
    <row r="62" spans="1:14" x14ac:dyDescent="0.25">
      <c r="A62" s="137">
        <v>58</v>
      </c>
      <c r="B62" s="138" t="s">
        <v>32</v>
      </c>
      <c r="C62" s="138" t="s">
        <v>20</v>
      </c>
      <c r="D62" s="140">
        <v>1500</v>
      </c>
      <c r="E62" s="140">
        <v>5000</v>
      </c>
      <c r="F62" s="141">
        <v>47</v>
      </c>
      <c r="G62" s="142">
        <v>5</v>
      </c>
      <c r="H62" s="141">
        <f>(Table2423256789101112131415162019212223[[#This Row],[STOK]]-Table2423256789101112131415162019212223[[#This Row],[TERJUAL]])</f>
        <v>42</v>
      </c>
      <c r="I62" s="143">
        <f>(Table2423256789101112131415162019212223[HARGA JUAL]*Table2423256789101112131415162019212223[TERJUAL])-(Table2423256789101112131415162019212223[HARGA POKOK]*Table2423256789101112131415162019212223[TERJUAL])</f>
        <v>17500</v>
      </c>
      <c r="J62" s="143">
        <f>(Table2423256789101112131415162019212223[HARGA JUAL]*Table2423256789101112131415162019212223[TERJUAL])</f>
        <v>25000</v>
      </c>
      <c r="K62" s="143">
        <f>Table2423256789101112131415162019212223[HARGA JUAL]*Table2423256789101112131415162019212223[SISA]</f>
        <v>210000</v>
      </c>
      <c r="L62" s="144">
        <f>Table2423256789101112131415162019212223[HARGA POKOK]*Table2423256789101112131415162019212223[STOK]</f>
        <v>70500</v>
      </c>
      <c r="M62" s="144">
        <f>Table2423256789101112131415162019212223[HARGA JUAL]*Table2423256789101112131415162019212223[STOK]</f>
        <v>235000</v>
      </c>
      <c r="N62" s="145"/>
    </row>
    <row r="63" spans="1:14" x14ac:dyDescent="0.25">
      <c r="A63" s="137">
        <v>59</v>
      </c>
      <c r="B63" s="138" t="s">
        <v>32</v>
      </c>
      <c r="C63" s="138" t="s">
        <v>23</v>
      </c>
      <c r="D63" s="140">
        <v>30000</v>
      </c>
      <c r="E63" s="140">
        <v>40000</v>
      </c>
      <c r="F63" s="141">
        <v>8</v>
      </c>
      <c r="G63" s="142"/>
      <c r="H63" s="141">
        <f>(Table2423256789101112131415162019212223[[#This Row],[STOK]]-Table2423256789101112131415162019212223[[#This Row],[TERJUAL]])</f>
        <v>8</v>
      </c>
      <c r="I63" s="143">
        <f>(Table2423256789101112131415162019212223[HARGA JUAL]*Table2423256789101112131415162019212223[TERJUAL])-(Table2423256789101112131415162019212223[HARGA POKOK]*Table2423256789101112131415162019212223[TERJUAL])</f>
        <v>0</v>
      </c>
      <c r="J63" s="143">
        <f>(Table2423256789101112131415162019212223[HARGA JUAL]*Table2423256789101112131415162019212223[TERJUAL])</f>
        <v>0</v>
      </c>
      <c r="K63" s="143">
        <f>Table2423256789101112131415162019212223[HARGA JUAL]*Table2423256789101112131415162019212223[SISA]</f>
        <v>320000</v>
      </c>
      <c r="L63" s="144">
        <f>Table2423256789101112131415162019212223[HARGA POKOK]*Table2423256789101112131415162019212223[STOK]</f>
        <v>240000</v>
      </c>
      <c r="M63" s="144">
        <f>Table2423256789101112131415162019212223[HARGA JUAL]*Table2423256789101112131415162019212223[STOK]</f>
        <v>320000</v>
      </c>
      <c r="N63" s="145"/>
    </row>
    <row r="64" spans="1:14" x14ac:dyDescent="0.25">
      <c r="A64" s="137">
        <v>60</v>
      </c>
      <c r="B64" s="138" t="s">
        <v>32</v>
      </c>
      <c r="C64" s="138" t="s">
        <v>19</v>
      </c>
      <c r="D64" s="140">
        <v>1600</v>
      </c>
      <c r="E64" s="140">
        <v>5000</v>
      </c>
      <c r="F64" s="141">
        <v>145</v>
      </c>
      <c r="G64" s="142">
        <v>12</v>
      </c>
      <c r="H64" s="141">
        <f>(Table2423256789101112131415162019212223[[#This Row],[STOK]]-Table2423256789101112131415162019212223[[#This Row],[TERJUAL]])</f>
        <v>133</v>
      </c>
      <c r="I64" s="143">
        <f>(Table2423256789101112131415162019212223[HARGA JUAL]*Table2423256789101112131415162019212223[TERJUAL])-(Table2423256789101112131415162019212223[HARGA POKOK]*Table2423256789101112131415162019212223[TERJUAL])</f>
        <v>40800</v>
      </c>
      <c r="J64" s="143">
        <f>(Table2423256789101112131415162019212223[HARGA JUAL]*Table2423256789101112131415162019212223[TERJUAL])</f>
        <v>60000</v>
      </c>
      <c r="K64" s="143">
        <f>Table2423256789101112131415162019212223[HARGA JUAL]*Table2423256789101112131415162019212223[SISA]</f>
        <v>665000</v>
      </c>
      <c r="L64" s="144">
        <f>Table2423256789101112131415162019212223[HARGA POKOK]*Table2423256789101112131415162019212223[STOK]</f>
        <v>232000</v>
      </c>
      <c r="M64" s="144">
        <f>Table2423256789101112131415162019212223[HARGA JUAL]*Table2423256789101112131415162019212223[STOK]</f>
        <v>725000</v>
      </c>
      <c r="N64" s="145"/>
    </row>
    <row r="65" spans="1:14" x14ac:dyDescent="0.25">
      <c r="A65" s="137">
        <v>61</v>
      </c>
      <c r="B65" s="138" t="s">
        <v>32</v>
      </c>
      <c r="C65" s="138" t="s">
        <v>22</v>
      </c>
      <c r="D65" s="140">
        <v>30000</v>
      </c>
      <c r="E65" s="140">
        <v>40000</v>
      </c>
      <c r="F65" s="141"/>
      <c r="G65" s="142"/>
      <c r="H65" s="141">
        <f>(Table2423256789101112131415162019212223[[#This Row],[STOK]]-Table2423256789101112131415162019212223[[#This Row],[TERJUAL]])</f>
        <v>0</v>
      </c>
      <c r="I65" s="143">
        <f>(Table2423256789101112131415162019212223[HARGA JUAL]*Table2423256789101112131415162019212223[TERJUAL])-(Table2423256789101112131415162019212223[HARGA POKOK]*Table2423256789101112131415162019212223[TERJUAL])</f>
        <v>0</v>
      </c>
      <c r="J65" s="143">
        <f>(Table2423256789101112131415162019212223[HARGA JUAL]*Table2423256789101112131415162019212223[TERJUAL])</f>
        <v>0</v>
      </c>
      <c r="K65" s="143">
        <f>Table2423256789101112131415162019212223[HARGA JUAL]*Table2423256789101112131415162019212223[SISA]</f>
        <v>0</v>
      </c>
      <c r="L65" s="144">
        <f>Table2423256789101112131415162019212223[HARGA POKOK]*Table2423256789101112131415162019212223[STOK]</f>
        <v>0</v>
      </c>
      <c r="M65" s="144">
        <f>Table2423256789101112131415162019212223[HARGA JUAL]*Table2423256789101112131415162019212223[STOK]</f>
        <v>0</v>
      </c>
      <c r="N65" s="145"/>
    </row>
    <row r="66" spans="1:14" x14ac:dyDescent="0.25">
      <c r="A66" s="137">
        <v>62</v>
      </c>
      <c r="B66" s="138" t="s">
        <v>32</v>
      </c>
      <c r="C66" s="138" t="s">
        <v>349</v>
      </c>
      <c r="D66" s="140">
        <v>2500</v>
      </c>
      <c r="E66" s="140">
        <v>5000</v>
      </c>
      <c r="F66" s="141">
        <v>30</v>
      </c>
      <c r="G66" s="142">
        <v>2</v>
      </c>
      <c r="H66" s="141">
        <f>(Table2423256789101112131415162019212223[[#This Row],[STOK]]-Table2423256789101112131415162019212223[[#This Row],[TERJUAL]])</f>
        <v>28</v>
      </c>
      <c r="I66" s="143">
        <f>(Table2423256789101112131415162019212223[HARGA JUAL]*Table2423256789101112131415162019212223[TERJUAL])-(Table2423256789101112131415162019212223[HARGA POKOK]*Table2423256789101112131415162019212223[TERJUAL])</f>
        <v>5000</v>
      </c>
      <c r="J66" s="143">
        <f>(Table2423256789101112131415162019212223[HARGA JUAL]*Table2423256789101112131415162019212223[TERJUAL])</f>
        <v>10000</v>
      </c>
      <c r="K66" s="143">
        <f>Table2423256789101112131415162019212223[HARGA JUAL]*Table2423256789101112131415162019212223[SISA]</f>
        <v>140000</v>
      </c>
      <c r="L66" s="144">
        <f>Table2423256789101112131415162019212223[HARGA POKOK]*Table2423256789101112131415162019212223[STOK]</f>
        <v>75000</v>
      </c>
      <c r="M66" s="144">
        <f>Table2423256789101112131415162019212223[HARGA JUAL]*Table2423256789101112131415162019212223[STOK]</f>
        <v>150000</v>
      </c>
      <c r="N66" s="145"/>
    </row>
    <row r="67" spans="1:14" x14ac:dyDescent="0.25">
      <c r="A67" s="137">
        <v>63</v>
      </c>
      <c r="B67" s="138" t="s">
        <v>32</v>
      </c>
      <c r="C67" s="138" t="s">
        <v>24</v>
      </c>
      <c r="D67" s="140">
        <v>17500</v>
      </c>
      <c r="E67" s="140">
        <v>40000</v>
      </c>
      <c r="F67" s="141">
        <v>0</v>
      </c>
      <c r="G67" s="142"/>
      <c r="H67" s="141">
        <f>(Table2423256789101112131415162019212223[[#This Row],[STOK]]-Table2423256789101112131415162019212223[[#This Row],[TERJUAL]])</f>
        <v>0</v>
      </c>
      <c r="I67" s="143">
        <f>(Table2423256789101112131415162019212223[HARGA JUAL]*Table2423256789101112131415162019212223[TERJUAL])-(Table2423256789101112131415162019212223[HARGA POKOK]*Table2423256789101112131415162019212223[TERJUAL])</f>
        <v>0</v>
      </c>
      <c r="J67" s="143">
        <f>(Table2423256789101112131415162019212223[HARGA JUAL]*Table2423256789101112131415162019212223[TERJUAL])</f>
        <v>0</v>
      </c>
      <c r="K67" s="143">
        <f>Table2423256789101112131415162019212223[HARGA JUAL]*Table2423256789101112131415162019212223[SISA]</f>
        <v>0</v>
      </c>
      <c r="L67" s="144">
        <f>Table2423256789101112131415162019212223[HARGA POKOK]*Table2423256789101112131415162019212223[STOK]</f>
        <v>0</v>
      </c>
      <c r="M67" s="144">
        <f>Table2423256789101112131415162019212223[HARGA JUAL]*Table2423256789101112131415162019212223[STOK]</f>
        <v>0</v>
      </c>
      <c r="N67" s="145"/>
    </row>
    <row r="68" spans="1:14" x14ac:dyDescent="0.25">
      <c r="A68" s="137">
        <v>64</v>
      </c>
      <c r="B68" s="138" t="s">
        <v>144</v>
      </c>
      <c r="C68" s="138" t="s">
        <v>145</v>
      </c>
      <c r="D68" s="140">
        <v>3000</v>
      </c>
      <c r="E68" s="140">
        <v>6000</v>
      </c>
      <c r="F68" s="141">
        <v>46</v>
      </c>
      <c r="G68" s="142">
        <v>8</v>
      </c>
      <c r="H68" s="141">
        <f>(Table2423256789101112131415162019212223[[#This Row],[STOK]]-Table2423256789101112131415162019212223[[#This Row],[TERJUAL]])</f>
        <v>38</v>
      </c>
      <c r="I68" s="143">
        <f>(Table2423256789101112131415162019212223[HARGA JUAL]*Table2423256789101112131415162019212223[TERJUAL])-(Table2423256789101112131415162019212223[HARGA POKOK]*Table2423256789101112131415162019212223[TERJUAL])</f>
        <v>24000</v>
      </c>
      <c r="J68" s="143">
        <f>(Table2423256789101112131415162019212223[HARGA JUAL]*Table2423256789101112131415162019212223[TERJUAL])</f>
        <v>48000</v>
      </c>
      <c r="K68" s="143">
        <f>Table2423256789101112131415162019212223[HARGA JUAL]*Table2423256789101112131415162019212223[SISA]</f>
        <v>228000</v>
      </c>
      <c r="L68" s="144">
        <f>Table2423256789101112131415162019212223[HARGA POKOK]*Table2423256789101112131415162019212223[STOK]</f>
        <v>138000</v>
      </c>
      <c r="M68" s="144">
        <f>Table2423256789101112131415162019212223[HARGA JUAL]*Table2423256789101112131415162019212223[STOK]</f>
        <v>276000</v>
      </c>
      <c r="N68" s="145"/>
    </row>
    <row r="69" spans="1:14" x14ac:dyDescent="0.25">
      <c r="A69" s="137">
        <v>65</v>
      </c>
      <c r="B69" s="292" t="s">
        <v>290</v>
      </c>
      <c r="C69" s="292" t="s">
        <v>188</v>
      </c>
      <c r="D69" s="293">
        <v>400000</v>
      </c>
      <c r="E69" s="293">
        <v>485000</v>
      </c>
      <c r="F69" s="312">
        <v>212</v>
      </c>
      <c r="G69" s="295">
        <v>92</v>
      </c>
      <c r="H69" s="294">
        <f>(Table2423256789101112131415162019212223[[#This Row],[STOK]]-Table2423256789101112131415162019212223[[#This Row],[TERJUAL]])</f>
        <v>120</v>
      </c>
      <c r="I69" s="296">
        <f>(Table2423256789101112131415162019212223[HARGA JUAL]*Table2423256789101112131415162019212223[TERJUAL])-(Table2423256789101112131415162019212223[HARGA POKOK]*Table2423256789101112131415162019212223[TERJUAL])</f>
        <v>7820000</v>
      </c>
      <c r="J69" s="296">
        <f>(Table2423256789101112131415162019212223[HARGA JUAL]*Table2423256789101112131415162019212223[TERJUAL])</f>
        <v>44620000</v>
      </c>
      <c r="K69" s="296">
        <f>Table2423256789101112131415162019212223[HARGA JUAL]*Table2423256789101112131415162019212223[SISA]</f>
        <v>58200000</v>
      </c>
      <c r="L69" s="297">
        <f>Table2423256789101112131415162019212223[HARGA POKOK]*Table2423256789101112131415162019212223[STOK]</f>
        <v>84800000</v>
      </c>
      <c r="M69" s="297">
        <f>Table2423256789101112131415162019212223[HARGA JUAL]*Table2423256789101112131415162019212223[STOK]</f>
        <v>102820000</v>
      </c>
      <c r="N69" s="298"/>
    </row>
    <row r="70" spans="1:14" x14ac:dyDescent="0.25">
      <c r="A70" s="137">
        <v>66</v>
      </c>
      <c r="B70" s="138" t="s">
        <v>33</v>
      </c>
      <c r="C70" s="138" t="s">
        <v>189</v>
      </c>
      <c r="D70" s="140">
        <v>452000</v>
      </c>
      <c r="E70" s="140">
        <v>560000</v>
      </c>
      <c r="F70" s="141">
        <v>0</v>
      </c>
      <c r="G70" s="142"/>
      <c r="H70" s="141">
        <f>(Table2423256789101112131415162019212223[[#This Row],[STOK]]-Table2423256789101112131415162019212223[[#This Row],[TERJUAL]])</f>
        <v>0</v>
      </c>
      <c r="I70" s="143">
        <f>(Table2423256789101112131415162019212223[HARGA JUAL]*Table2423256789101112131415162019212223[TERJUAL])-(Table2423256789101112131415162019212223[HARGA POKOK]*Table2423256789101112131415162019212223[TERJUAL])</f>
        <v>0</v>
      </c>
      <c r="J70" s="143">
        <f>(Table2423256789101112131415162019212223[HARGA JUAL]*Table2423256789101112131415162019212223[TERJUAL])</f>
        <v>0</v>
      </c>
      <c r="K70" s="143">
        <f>Table2423256789101112131415162019212223[HARGA JUAL]*Table2423256789101112131415162019212223[SISA]</f>
        <v>0</v>
      </c>
      <c r="L70" s="144">
        <f>Table2423256789101112131415162019212223[HARGA POKOK]*Table2423256789101112131415162019212223[STOK]</f>
        <v>0</v>
      </c>
      <c r="M70" s="144">
        <f>Table2423256789101112131415162019212223[HARGA JUAL]*Table2423256789101112131415162019212223[STOK]</f>
        <v>0</v>
      </c>
      <c r="N70" s="145"/>
    </row>
    <row r="71" spans="1:14" x14ac:dyDescent="0.25">
      <c r="A71" s="137">
        <v>67</v>
      </c>
      <c r="B71" s="138" t="s">
        <v>192</v>
      </c>
      <c r="C71" s="138" t="s">
        <v>142</v>
      </c>
      <c r="D71" s="140">
        <v>310000</v>
      </c>
      <c r="E71" s="140">
        <v>495000</v>
      </c>
      <c r="F71" s="141">
        <v>4</v>
      </c>
      <c r="G71" s="142"/>
      <c r="H71" s="141">
        <f>(Table2423256789101112131415162019212223[[#This Row],[STOK]]-Table2423256789101112131415162019212223[[#This Row],[TERJUAL]])</f>
        <v>4</v>
      </c>
      <c r="I71" s="143">
        <f>(Table2423256789101112131415162019212223[HARGA JUAL]*Table2423256789101112131415162019212223[TERJUAL])-(Table2423256789101112131415162019212223[HARGA POKOK]*Table2423256789101112131415162019212223[TERJUAL])</f>
        <v>0</v>
      </c>
      <c r="J71" s="143">
        <f>(Table2423256789101112131415162019212223[HARGA JUAL]*Table2423256789101112131415162019212223[TERJUAL])</f>
        <v>0</v>
      </c>
      <c r="K71" s="143">
        <f>Table2423256789101112131415162019212223[HARGA JUAL]*Table2423256789101112131415162019212223[SISA]</f>
        <v>1980000</v>
      </c>
      <c r="L71" s="144">
        <f>Table2423256789101112131415162019212223[HARGA POKOK]*Table2423256789101112131415162019212223[STOK]</f>
        <v>1240000</v>
      </c>
      <c r="M71" s="144">
        <f>Table2423256789101112131415162019212223[HARGA JUAL]*Table2423256789101112131415162019212223[STOK]</f>
        <v>1980000</v>
      </c>
      <c r="N71" s="145"/>
    </row>
    <row r="72" spans="1:14" x14ac:dyDescent="0.25">
      <c r="A72" s="137">
        <v>68</v>
      </c>
      <c r="B72" s="138" t="s">
        <v>192</v>
      </c>
      <c r="C72" s="138" t="s">
        <v>269</v>
      </c>
      <c r="D72" s="140">
        <v>417000</v>
      </c>
      <c r="E72" s="140">
        <v>470000</v>
      </c>
      <c r="F72" s="141">
        <v>2</v>
      </c>
      <c r="G72" s="142">
        <v>1</v>
      </c>
      <c r="H72" s="141">
        <f>(Table2423256789101112131415162019212223[[#This Row],[STOK]]-Table2423256789101112131415162019212223[[#This Row],[TERJUAL]])</f>
        <v>1</v>
      </c>
      <c r="I72" s="143">
        <f>(Table2423256789101112131415162019212223[HARGA JUAL]*Table2423256789101112131415162019212223[TERJUAL])-(Table2423256789101112131415162019212223[HARGA POKOK]*Table2423256789101112131415162019212223[TERJUAL])</f>
        <v>53000</v>
      </c>
      <c r="J72" s="143">
        <f>(Table2423256789101112131415162019212223[HARGA JUAL]*Table2423256789101112131415162019212223[TERJUAL])</f>
        <v>470000</v>
      </c>
      <c r="K72" s="143">
        <f>Table2423256789101112131415162019212223[HARGA JUAL]*Table2423256789101112131415162019212223[SISA]</f>
        <v>470000</v>
      </c>
      <c r="L72" s="144">
        <f>Table2423256789101112131415162019212223[HARGA POKOK]*Table2423256789101112131415162019212223[STOK]</f>
        <v>834000</v>
      </c>
      <c r="M72" s="144">
        <f>Table2423256789101112131415162019212223[HARGA JUAL]*Table2423256789101112131415162019212223[STOK]</f>
        <v>940000</v>
      </c>
      <c r="N72" s="145"/>
    </row>
    <row r="73" spans="1:14" x14ac:dyDescent="0.25">
      <c r="A73" s="137">
        <v>69</v>
      </c>
      <c r="B73" s="138" t="s">
        <v>193</v>
      </c>
      <c r="C73" s="138" t="s">
        <v>191</v>
      </c>
      <c r="D73" s="140">
        <v>9700</v>
      </c>
      <c r="E73" s="140">
        <v>16000</v>
      </c>
      <c r="F73" s="141">
        <v>40</v>
      </c>
      <c r="G73" s="142">
        <v>20</v>
      </c>
      <c r="H73" s="141">
        <f>(Table2423256789101112131415162019212223[[#This Row],[STOK]]-Table2423256789101112131415162019212223[[#This Row],[TERJUAL]])</f>
        <v>20</v>
      </c>
      <c r="I73" s="143">
        <f>(Table2423256789101112131415162019212223[HARGA JUAL]*Table2423256789101112131415162019212223[TERJUAL])-(Table2423256789101112131415162019212223[HARGA POKOK]*Table2423256789101112131415162019212223[TERJUAL])</f>
        <v>126000</v>
      </c>
      <c r="J73" s="143">
        <f>(Table2423256789101112131415162019212223[HARGA JUAL]*Table2423256789101112131415162019212223[TERJUAL])</f>
        <v>320000</v>
      </c>
      <c r="K73" s="143">
        <f>Table2423256789101112131415162019212223[HARGA JUAL]*Table2423256789101112131415162019212223[SISA]</f>
        <v>320000</v>
      </c>
      <c r="L73" s="144">
        <f>Table2423256789101112131415162019212223[HARGA POKOK]*Table2423256789101112131415162019212223[STOK]</f>
        <v>388000</v>
      </c>
      <c r="M73" s="144">
        <f>Table2423256789101112131415162019212223[HARGA JUAL]*Table2423256789101112131415162019212223[STOK]</f>
        <v>640000</v>
      </c>
      <c r="N73" s="145"/>
    </row>
    <row r="74" spans="1:14" x14ac:dyDescent="0.25">
      <c r="A74" s="137">
        <v>70</v>
      </c>
      <c r="B74" s="138" t="s">
        <v>193</v>
      </c>
      <c r="C74" s="138" t="s">
        <v>214</v>
      </c>
      <c r="D74" s="140">
        <v>9500</v>
      </c>
      <c r="E74" s="140">
        <v>16000</v>
      </c>
      <c r="F74" s="141">
        <v>53</v>
      </c>
      <c r="G74" s="142">
        <v>28</v>
      </c>
      <c r="H74" s="141">
        <f>(Table2423256789101112131415162019212223[[#This Row],[STOK]]-Table2423256789101112131415162019212223[[#This Row],[TERJUAL]])</f>
        <v>25</v>
      </c>
      <c r="I74" s="143">
        <f>(Table2423256789101112131415162019212223[HARGA JUAL]*Table2423256789101112131415162019212223[TERJUAL])-(Table2423256789101112131415162019212223[HARGA POKOK]*Table2423256789101112131415162019212223[TERJUAL])</f>
        <v>182000</v>
      </c>
      <c r="J74" s="143">
        <f>(Table2423256789101112131415162019212223[HARGA JUAL]*Table2423256789101112131415162019212223[TERJUAL])</f>
        <v>448000</v>
      </c>
      <c r="K74" s="143">
        <f>Table2423256789101112131415162019212223[HARGA JUAL]*Table2423256789101112131415162019212223[SISA]</f>
        <v>400000</v>
      </c>
      <c r="L74" s="144">
        <f>Table2423256789101112131415162019212223[HARGA POKOK]*Table2423256789101112131415162019212223[STOK]</f>
        <v>503500</v>
      </c>
      <c r="M74" s="144">
        <f>Table2423256789101112131415162019212223[HARGA JUAL]*Table2423256789101112131415162019212223[STOK]</f>
        <v>848000</v>
      </c>
      <c r="N74" s="145" t="s">
        <v>292</v>
      </c>
    </row>
    <row r="75" spans="1:14" x14ac:dyDescent="0.25">
      <c r="A75" s="137">
        <v>71</v>
      </c>
      <c r="B75" s="138" t="s">
        <v>206</v>
      </c>
      <c r="C75" s="138" t="s">
        <v>207</v>
      </c>
      <c r="D75" s="140">
        <v>12000</v>
      </c>
      <c r="E75" s="140">
        <v>18000</v>
      </c>
      <c r="F75" s="141">
        <v>10</v>
      </c>
      <c r="G75" s="142">
        <v>5</v>
      </c>
      <c r="H75" s="141">
        <f>(Table2423256789101112131415162019212223[[#This Row],[STOK]]-Table2423256789101112131415162019212223[[#This Row],[TERJUAL]])</f>
        <v>5</v>
      </c>
      <c r="I75" s="143">
        <f>(Table2423256789101112131415162019212223[HARGA JUAL]*Table2423256789101112131415162019212223[TERJUAL])-(Table2423256789101112131415162019212223[HARGA POKOK]*Table2423256789101112131415162019212223[TERJUAL])</f>
        <v>30000</v>
      </c>
      <c r="J75" s="143">
        <f>(Table2423256789101112131415162019212223[HARGA JUAL]*Table2423256789101112131415162019212223[TERJUAL])</f>
        <v>90000</v>
      </c>
      <c r="K75" s="143">
        <f>Table2423256789101112131415162019212223[HARGA JUAL]*Table2423256789101112131415162019212223[SISA]</f>
        <v>90000</v>
      </c>
      <c r="L75" s="144">
        <f>Table2423256789101112131415162019212223[HARGA POKOK]*Table2423256789101112131415162019212223[STOK]</f>
        <v>120000</v>
      </c>
      <c r="M75" s="144">
        <f>Table2423256789101112131415162019212223[HARGA JUAL]*Table2423256789101112131415162019212223[STOK]</f>
        <v>180000</v>
      </c>
      <c r="N75" s="145"/>
    </row>
    <row r="76" spans="1:14" x14ac:dyDescent="0.25">
      <c r="A76" s="137">
        <v>72</v>
      </c>
      <c r="B76" s="138" t="s">
        <v>206</v>
      </c>
      <c r="C76" s="138" t="s">
        <v>208</v>
      </c>
      <c r="D76" s="140">
        <v>14000</v>
      </c>
      <c r="E76" s="140">
        <v>37000</v>
      </c>
      <c r="F76" s="141">
        <v>5</v>
      </c>
      <c r="G76" s="142"/>
      <c r="H76" s="141">
        <f>(Table2423256789101112131415162019212223[[#This Row],[STOK]]-Table2423256789101112131415162019212223[[#This Row],[TERJUAL]])</f>
        <v>5</v>
      </c>
      <c r="I76" s="143">
        <f>(Table2423256789101112131415162019212223[HARGA JUAL]*Table2423256789101112131415162019212223[TERJUAL])-(Table2423256789101112131415162019212223[HARGA POKOK]*Table2423256789101112131415162019212223[TERJUAL])</f>
        <v>0</v>
      </c>
      <c r="J76" s="143">
        <f>(Table2423256789101112131415162019212223[HARGA JUAL]*Table2423256789101112131415162019212223[TERJUAL])</f>
        <v>0</v>
      </c>
      <c r="K76" s="143">
        <f>Table2423256789101112131415162019212223[HARGA JUAL]*Table2423256789101112131415162019212223[SISA]</f>
        <v>185000</v>
      </c>
      <c r="L76" s="144">
        <f>Table2423256789101112131415162019212223[HARGA POKOK]*Table2423256789101112131415162019212223[STOK]</f>
        <v>70000</v>
      </c>
      <c r="M76" s="144">
        <f>Table2423256789101112131415162019212223[HARGA JUAL]*Table2423256789101112131415162019212223[STOK]</f>
        <v>185000</v>
      </c>
      <c r="N76" s="145"/>
    </row>
    <row r="77" spans="1:14" x14ac:dyDescent="0.25">
      <c r="A77" s="137">
        <v>73</v>
      </c>
      <c r="B77" s="138" t="s">
        <v>206</v>
      </c>
      <c r="C77" s="138" t="s">
        <v>358</v>
      </c>
      <c r="D77" s="140">
        <v>13000</v>
      </c>
      <c r="E77" s="140">
        <v>32000</v>
      </c>
      <c r="F77" s="141">
        <v>12</v>
      </c>
      <c r="G77" s="142">
        <v>3</v>
      </c>
      <c r="H77" s="141">
        <f>(Table2423256789101112131415162019212223[[#This Row],[STOK]]-Table2423256789101112131415162019212223[[#This Row],[TERJUAL]])</f>
        <v>9</v>
      </c>
      <c r="I77" s="143">
        <f>(Table2423256789101112131415162019212223[HARGA JUAL]*Table2423256789101112131415162019212223[TERJUAL])-(Table2423256789101112131415162019212223[HARGA POKOK]*Table2423256789101112131415162019212223[TERJUAL])</f>
        <v>57000</v>
      </c>
      <c r="J77" s="143">
        <f>(Table2423256789101112131415162019212223[HARGA JUAL]*Table2423256789101112131415162019212223[TERJUAL])</f>
        <v>96000</v>
      </c>
      <c r="K77" s="143">
        <f>Table2423256789101112131415162019212223[HARGA JUAL]*Table2423256789101112131415162019212223[SISA]</f>
        <v>288000</v>
      </c>
      <c r="L77" s="144">
        <f>Table2423256789101112131415162019212223[HARGA POKOK]*Table2423256789101112131415162019212223[STOK]</f>
        <v>156000</v>
      </c>
      <c r="M77" s="144">
        <f>Table2423256789101112131415162019212223[HARGA JUAL]*Table2423256789101112131415162019212223[STOK]</f>
        <v>384000</v>
      </c>
      <c r="N77" s="145"/>
    </row>
    <row r="78" spans="1:14" x14ac:dyDescent="0.25">
      <c r="A78" s="137">
        <v>74</v>
      </c>
      <c r="B78" s="138" t="s">
        <v>209</v>
      </c>
      <c r="C78" s="138" t="s">
        <v>210</v>
      </c>
      <c r="D78" s="140">
        <v>20000</v>
      </c>
      <c r="E78" s="140">
        <v>40000</v>
      </c>
      <c r="F78" s="141"/>
      <c r="G78" s="142"/>
      <c r="H78" s="141">
        <f>(Table2423256789101112131415162019212223[[#This Row],[STOK]]-Table2423256789101112131415162019212223[[#This Row],[TERJUAL]])</f>
        <v>0</v>
      </c>
      <c r="I78" s="143">
        <f>(Table2423256789101112131415162019212223[HARGA JUAL]*Table2423256789101112131415162019212223[TERJUAL])-(Table2423256789101112131415162019212223[HARGA POKOK]*Table2423256789101112131415162019212223[TERJUAL])</f>
        <v>0</v>
      </c>
      <c r="J78" s="143">
        <f>(Table2423256789101112131415162019212223[HARGA JUAL]*Table2423256789101112131415162019212223[TERJUAL])</f>
        <v>0</v>
      </c>
      <c r="K78" s="143">
        <f>Table2423256789101112131415162019212223[HARGA JUAL]*Table2423256789101112131415162019212223[SISA]</f>
        <v>0</v>
      </c>
      <c r="L78" s="144">
        <f>Table2423256789101112131415162019212223[HARGA POKOK]*Table2423256789101112131415162019212223[STOK]</f>
        <v>0</v>
      </c>
      <c r="M78" s="144">
        <f>Table2423256789101112131415162019212223[HARGA JUAL]*Table2423256789101112131415162019212223[STOK]</f>
        <v>0</v>
      </c>
      <c r="N78" s="145"/>
    </row>
    <row r="79" spans="1:14" x14ac:dyDescent="0.25">
      <c r="A79" s="137">
        <v>75</v>
      </c>
      <c r="B79" s="138" t="s">
        <v>209</v>
      </c>
      <c r="C79" s="138" t="s">
        <v>211</v>
      </c>
      <c r="D79" s="140">
        <v>26000</v>
      </c>
      <c r="E79" s="140">
        <v>45000</v>
      </c>
      <c r="F79" s="141">
        <v>1</v>
      </c>
      <c r="G79" s="142"/>
      <c r="H79" s="141">
        <f>(Table2423256789101112131415162019212223[[#This Row],[STOK]]-Table2423256789101112131415162019212223[[#This Row],[TERJUAL]])</f>
        <v>1</v>
      </c>
      <c r="I79" s="143">
        <f>(Table2423256789101112131415162019212223[HARGA JUAL]*Table2423256789101112131415162019212223[TERJUAL])-(Table2423256789101112131415162019212223[HARGA POKOK]*Table2423256789101112131415162019212223[TERJUAL])</f>
        <v>0</v>
      </c>
      <c r="J79" s="143">
        <f>(Table2423256789101112131415162019212223[HARGA JUAL]*Table2423256789101112131415162019212223[TERJUAL])</f>
        <v>0</v>
      </c>
      <c r="K79" s="143">
        <f>Table2423256789101112131415162019212223[HARGA JUAL]*Table2423256789101112131415162019212223[SISA]</f>
        <v>45000</v>
      </c>
      <c r="L79" s="144">
        <f>Table2423256789101112131415162019212223[HARGA POKOK]*Table2423256789101112131415162019212223[STOK]</f>
        <v>26000</v>
      </c>
      <c r="M79" s="144">
        <f>Table2423256789101112131415162019212223[HARGA JUAL]*Table2423256789101112131415162019212223[STOK]</f>
        <v>45000</v>
      </c>
      <c r="N79" s="145"/>
    </row>
    <row r="80" spans="1:14" x14ac:dyDescent="0.25">
      <c r="A80" s="137">
        <v>76</v>
      </c>
      <c r="B80" s="138" t="s">
        <v>212</v>
      </c>
      <c r="C80" s="138" t="s">
        <v>213</v>
      </c>
      <c r="D80" s="140">
        <v>600000</v>
      </c>
      <c r="E80" s="140">
        <v>800000</v>
      </c>
      <c r="F80" s="141"/>
      <c r="G80" s="142"/>
      <c r="H80" s="141">
        <f>(Table2423256789101112131415162019212223[[#This Row],[STOK]]-Table2423256789101112131415162019212223[[#This Row],[TERJUAL]])</f>
        <v>0</v>
      </c>
      <c r="I80" s="143">
        <f>(Table2423256789101112131415162019212223[HARGA JUAL]*Table2423256789101112131415162019212223[TERJUAL])-(Table2423256789101112131415162019212223[HARGA POKOK]*Table2423256789101112131415162019212223[TERJUAL])</f>
        <v>0</v>
      </c>
      <c r="J80" s="143">
        <f>(Table2423256789101112131415162019212223[HARGA JUAL]*Table2423256789101112131415162019212223[TERJUAL])</f>
        <v>0</v>
      </c>
      <c r="K80" s="143">
        <f>Table2423256789101112131415162019212223[HARGA JUAL]*Table2423256789101112131415162019212223[SISA]</f>
        <v>0</v>
      </c>
      <c r="L80" s="144">
        <f>Table2423256789101112131415162019212223[HARGA POKOK]*Table2423256789101112131415162019212223[STOK]</f>
        <v>0</v>
      </c>
      <c r="M80" s="144">
        <f>Table2423256789101112131415162019212223[HARGA JUAL]*Table2423256789101112131415162019212223[STOK]</f>
        <v>0</v>
      </c>
      <c r="N80" s="145"/>
    </row>
    <row r="81" spans="1:15" x14ac:dyDescent="0.25">
      <c r="A81" s="137">
        <v>77</v>
      </c>
      <c r="B81" s="193" t="s">
        <v>194</v>
      </c>
      <c r="C81" s="193" t="s">
        <v>194</v>
      </c>
      <c r="D81" s="194">
        <v>30000</v>
      </c>
      <c r="E81" s="194">
        <v>40000</v>
      </c>
      <c r="F81" s="195">
        <v>9</v>
      </c>
      <c r="G81" s="196">
        <v>1</v>
      </c>
      <c r="H81" s="195">
        <f>(Table2423256789101112131415162019212223[[#This Row],[STOK]]-Table2423256789101112131415162019212223[[#This Row],[TERJUAL]])</f>
        <v>8</v>
      </c>
      <c r="I81" s="197">
        <f>(Table2423256789101112131415162019212223[HARGA JUAL]*Table2423256789101112131415162019212223[TERJUAL])-(Table2423256789101112131415162019212223[HARGA POKOK]*Table2423256789101112131415162019212223[TERJUAL])</f>
        <v>10000</v>
      </c>
      <c r="J81" s="197">
        <f>(Table2423256789101112131415162019212223[HARGA JUAL]*Table2423256789101112131415162019212223[TERJUAL])</f>
        <v>40000</v>
      </c>
      <c r="K81" s="197"/>
      <c r="L81" s="198"/>
      <c r="M81" s="198"/>
      <c r="N81" s="199"/>
    </row>
    <row r="82" spans="1:15" x14ac:dyDescent="0.25">
      <c r="A82" s="137">
        <v>78</v>
      </c>
      <c r="B82" s="146" t="s">
        <v>195</v>
      </c>
      <c r="C82" s="146" t="s">
        <v>195</v>
      </c>
      <c r="D82" s="147">
        <v>30000</v>
      </c>
      <c r="E82" s="147">
        <v>40000</v>
      </c>
      <c r="F82" s="148">
        <v>14</v>
      </c>
      <c r="G82" s="149"/>
      <c r="H82" s="148">
        <f>(Table2423256789101112131415162019212223[[#This Row],[STOK]]-Table2423256789101112131415162019212223[[#This Row],[TERJUAL]])</f>
        <v>14</v>
      </c>
      <c r="I82" s="150">
        <f>(Table2423256789101112131415162019212223[HARGA JUAL]*Table2423256789101112131415162019212223[TERJUAL])-(Table2423256789101112131415162019212223[HARGA POKOK]*Table2423256789101112131415162019212223[TERJUAL])</f>
        <v>0</v>
      </c>
      <c r="J82" s="150">
        <f>(Table2423256789101112131415162019212223[HARGA JUAL]*Table2423256789101112131415162019212223[TERJUAL])</f>
        <v>0</v>
      </c>
      <c r="K82" s="150">
        <f>Table2423256789101112131415162019212223[HARGA JUAL]*Table2423256789101112131415162019212223[SISA]</f>
        <v>560000</v>
      </c>
      <c r="L82" s="151">
        <f>Table2423256789101112131415162019212223[HARGA POKOK]*Table2423256789101112131415162019212223[STOK]</f>
        <v>420000</v>
      </c>
      <c r="M82" s="151">
        <f>Table2423256789101112131415162019212223[HARGA JUAL]*Table2423256789101112131415162019212223[STOK]</f>
        <v>560000</v>
      </c>
      <c r="N82" s="152"/>
    </row>
    <row r="83" spans="1:15" x14ac:dyDescent="0.25">
      <c r="A83" s="137">
        <v>79</v>
      </c>
      <c r="B83" s="193" t="s">
        <v>215</v>
      </c>
      <c r="C83" s="193" t="s">
        <v>215</v>
      </c>
      <c r="D83" s="194">
        <v>310000</v>
      </c>
      <c r="E83" s="194">
        <v>410000</v>
      </c>
      <c r="F83" s="195"/>
      <c r="G83" s="196"/>
      <c r="H83" s="195">
        <f>(Table2423256789101112131415162019212223[[#This Row],[STOK]]-Table2423256789101112131415162019212223[[#This Row],[TERJUAL]])</f>
        <v>0</v>
      </c>
      <c r="I83" s="197">
        <f>(Table2423256789101112131415162019212223[HARGA JUAL]*Table2423256789101112131415162019212223[TERJUAL])-(Table2423256789101112131415162019212223[HARGA POKOK]*Table2423256789101112131415162019212223[TERJUAL])</f>
        <v>0</v>
      </c>
      <c r="J83" s="197">
        <f>(Table2423256789101112131415162019212223[HARGA JUAL]*Table2423256789101112131415162019212223[TERJUAL])</f>
        <v>0</v>
      </c>
      <c r="K83" s="197">
        <f>Table2423256789101112131415162019212223[HARGA JUAL]*Table2423256789101112131415162019212223[SISA]</f>
        <v>0</v>
      </c>
      <c r="L83" s="198">
        <f>Table2423256789101112131415162019212223[HARGA POKOK]*Table2423256789101112131415162019212223[STOK]</f>
        <v>0</v>
      </c>
      <c r="M83" s="198">
        <f>Table2423256789101112131415162019212223[HARGA JUAL]*Table2423256789101112131415162019212223[STOK]</f>
        <v>0</v>
      </c>
      <c r="N83" s="199"/>
    </row>
    <row r="84" spans="1:15" s="180" customFormat="1" x14ac:dyDescent="0.25">
      <c r="A84" s="137">
        <v>80</v>
      </c>
      <c r="B84" s="153" t="s">
        <v>212</v>
      </c>
      <c r="C84" s="153" t="s">
        <v>213</v>
      </c>
      <c r="D84" s="154">
        <v>6000</v>
      </c>
      <c r="E84" s="154">
        <v>8000</v>
      </c>
      <c r="F84" s="155"/>
      <c r="G84" s="178"/>
      <c r="H84" s="155">
        <f>(Table2423256789101112131415162019212223[[#This Row],[STOK]]-Table2423256789101112131415162019212223[[#This Row],[TERJUAL]])</f>
        <v>0</v>
      </c>
      <c r="I84" s="157">
        <f>(Table2423256789101112131415162019212223[HARGA JUAL]*Table2423256789101112131415162019212223[TERJUAL])-(Table2423256789101112131415162019212223[HARGA POKOK]*Table2423256789101112131415162019212223[TERJUAL])</f>
        <v>0</v>
      </c>
      <c r="J84" s="157">
        <f>(Table2423256789101112131415162019212223[HARGA JUAL]*Table2423256789101112131415162019212223[TERJUAL])</f>
        <v>0</v>
      </c>
      <c r="K84" s="157"/>
      <c r="L84" s="158"/>
      <c r="M84" s="158"/>
      <c r="N84" s="179"/>
      <c r="O84" s="201"/>
    </row>
    <row r="85" spans="1:15" s="180" customFormat="1" x14ac:dyDescent="0.25">
      <c r="A85" s="137">
        <v>81</v>
      </c>
      <c r="B85" s="153" t="s">
        <v>71</v>
      </c>
      <c r="C85" s="153" t="s">
        <v>194</v>
      </c>
      <c r="D85" s="154">
        <v>1200</v>
      </c>
      <c r="E85" s="154">
        <v>2000</v>
      </c>
      <c r="F85" s="155"/>
      <c r="G85" s="156">
        <v>50</v>
      </c>
      <c r="H85" s="155">
        <f>(Table2423256789101112131415162019212223[[#This Row],[STOK]]-Table2423256789101112131415162019212223[[#This Row],[TERJUAL]])</f>
        <v>-50</v>
      </c>
      <c r="I85" s="157">
        <f>(Table2423256789101112131415162019212223[HARGA JUAL]*Table2423256789101112131415162019212223[TERJUAL])-(Table2423256789101112131415162019212223[HARGA POKOK]*Table2423256789101112131415162019212223[TERJUAL])</f>
        <v>40000</v>
      </c>
      <c r="J85" s="157">
        <f>(Table2423256789101112131415162019212223[HARGA JUAL]*Table2423256789101112131415162019212223[TERJUAL])</f>
        <v>100000</v>
      </c>
      <c r="K85" s="157"/>
      <c r="L85" s="158"/>
      <c r="M85" s="158"/>
      <c r="N85" s="179"/>
      <c r="O85" s="201"/>
    </row>
    <row r="86" spans="1:15" s="180" customFormat="1" x14ac:dyDescent="0.25">
      <c r="A86" s="137">
        <v>82</v>
      </c>
      <c r="B86" s="153" t="s">
        <v>71</v>
      </c>
      <c r="C86" s="153" t="s">
        <v>195</v>
      </c>
      <c r="D86" s="154">
        <v>700</v>
      </c>
      <c r="E86" s="154">
        <v>1500</v>
      </c>
      <c r="F86" s="155"/>
      <c r="G86" s="156"/>
      <c r="H86" s="155">
        <f>(Table2423256789101112131415162019212223[[#This Row],[STOK]]-Table2423256789101112131415162019212223[[#This Row],[TERJUAL]])</f>
        <v>0</v>
      </c>
      <c r="I86" s="157">
        <f>(Table2423256789101112131415162019212223[HARGA JUAL]*Table2423256789101112131415162019212223[TERJUAL])-(Table2423256789101112131415162019212223[HARGA POKOK]*Table2423256789101112131415162019212223[TERJUAL])</f>
        <v>0</v>
      </c>
      <c r="J86" s="157">
        <f>(Table2423256789101112131415162019212223[HARGA JUAL]*Table2423256789101112131415162019212223[TERJUAL])</f>
        <v>0</v>
      </c>
      <c r="K86" s="157"/>
      <c r="L86" s="158"/>
      <c r="M86" s="158"/>
      <c r="N86" s="179"/>
      <c r="O86" s="201"/>
    </row>
    <row r="87" spans="1:15" s="201" customFormat="1" x14ac:dyDescent="0.25">
      <c r="A87" s="137">
        <v>83</v>
      </c>
      <c r="B87" s="256" t="s">
        <v>68</v>
      </c>
      <c r="C87" s="256" t="s">
        <v>69</v>
      </c>
      <c r="D87" s="268">
        <v>8200</v>
      </c>
      <c r="E87" s="262">
        <v>11000</v>
      </c>
      <c r="F87" s="263"/>
      <c r="G87" s="269">
        <v>1460</v>
      </c>
      <c r="H87" s="263">
        <f>(Table2423256789101112131415162019212223[[#This Row],[STOK]]-Table2423256789101112131415162019212223[[#This Row],[TERJUAL]])</f>
        <v>-1460</v>
      </c>
      <c r="I87" s="265">
        <f>(Table2423256789101112131415162019212223[HARGA JUAL]*Table2423256789101112131415162019212223[TERJUAL])-(Table2423256789101112131415162019212223[HARGA POKOK]*Table2423256789101112131415162019212223[TERJUAL])</f>
        <v>4088000</v>
      </c>
      <c r="J87" s="265">
        <f>(Table2423256789101112131415162019212223[HARGA JUAL]*Table2423256789101112131415162019212223[TERJUAL])</f>
        <v>16060000</v>
      </c>
      <c r="K87" s="265"/>
      <c r="L87" s="266"/>
      <c r="M87" s="266"/>
      <c r="N87" s="267"/>
    </row>
    <row r="88" spans="1:15" s="180" customFormat="1" x14ac:dyDescent="0.25">
      <c r="A88" s="137">
        <v>84</v>
      </c>
      <c r="B88" s="153" t="s">
        <v>173</v>
      </c>
      <c r="C88" s="153" t="s">
        <v>174</v>
      </c>
      <c r="D88" s="159">
        <v>9040</v>
      </c>
      <c r="E88" s="154">
        <v>12000</v>
      </c>
      <c r="F88" s="155"/>
      <c r="G88" s="156"/>
      <c r="H88" s="155">
        <f>(Table2423256789101112131415162019212223[[#This Row],[STOK]]-Table2423256789101112131415162019212223[[#This Row],[TERJUAL]])</f>
        <v>0</v>
      </c>
      <c r="I88" s="157">
        <f>(Table2423256789101112131415162019212223[HARGA JUAL]*Table2423256789101112131415162019212223[TERJUAL])-(Table2423256789101112131415162019212223[HARGA POKOK]*Table2423256789101112131415162019212223[TERJUAL])</f>
        <v>0</v>
      </c>
      <c r="J88" s="157">
        <f>(Table2423256789101112131415162019212223[HARGA JUAL]*Table2423256789101112131415162019212223[TERJUAL])</f>
        <v>0</v>
      </c>
      <c r="K88" s="157"/>
      <c r="L88" s="158"/>
      <c r="M88" s="158"/>
      <c r="N88" s="179"/>
      <c r="O88" s="201"/>
    </row>
    <row r="89" spans="1:15" s="180" customFormat="1" x14ac:dyDescent="0.25">
      <c r="A89" s="137">
        <v>85</v>
      </c>
      <c r="B89" s="153" t="s">
        <v>146</v>
      </c>
      <c r="C89" s="153" t="s">
        <v>152</v>
      </c>
      <c r="D89" s="159">
        <v>6200</v>
      </c>
      <c r="E89" s="154">
        <v>11000</v>
      </c>
      <c r="F89" s="155"/>
      <c r="G89" s="160" t="s">
        <v>362</v>
      </c>
      <c r="H89" s="155">
        <f>(Table2423256789101112131415162019212223[[#This Row],[STOK]]-Table2423256789101112131415162019212223[[#This Row],[TERJUAL]])</f>
        <v>-43</v>
      </c>
      <c r="I89" s="157">
        <f>(Table2423256789101112131415162019212223[HARGA JUAL]*Table2423256789101112131415162019212223[TERJUAL])-(Table2423256789101112131415162019212223[HARGA POKOK]*Table2423256789101112131415162019212223[TERJUAL])</f>
        <v>206400</v>
      </c>
      <c r="J89" s="157">
        <f>(Table2423256789101112131415162019212223[HARGA JUAL]*Table2423256789101112131415162019212223[TERJUAL])</f>
        <v>473000</v>
      </c>
      <c r="K89" s="157"/>
      <c r="L89" s="158"/>
      <c r="M89" s="158"/>
      <c r="N89" s="179"/>
      <c r="O89" s="201"/>
    </row>
    <row r="90" spans="1:15" s="180" customFormat="1" x14ac:dyDescent="0.25">
      <c r="A90" s="137">
        <v>86</v>
      </c>
      <c r="B90" s="153" t="s">
        <v>321</v>
      </c>
      <c r="C90" s="153" t="s">
        <v>269</v>
      </c>
      <c r="D90" s="159">
        <v>9700</v>
      </c>
      <c r="E90" s="154">
        <v>12000</v>
      </c>
      <c r="F90" s="155"/>
      <c r="G90" s="160" t="s">
        <v>361</v>
      </c>
      <c r="H90" s="155">
        <f>(Table2423256789101112131415162019212223[[#This Row],[STOK]]-Table2423256789101112131415162019212223[[#This Row],[TERJUAL]])</f>
        <v>-12</v>
      </c>
      <c r="I90" s="157">
        <f>(Table2423256789101112131415162019212223[HARGA JUAL]*Table2423256789101112131415162019212223[TERJUAL])-(Table2423256789101112131415162019212223[HARGA POKOK]*Table2423256789101112131415162019212223[TERJUAL])</f>
        <v>27600</v>
      </c>
      <c r="J90" s="157">
        <f>(Table2423256789101112131415162019212223[HARGA JUAL]*Table2423256789101112131415162019212223[TERJUAL])</f>
        <v>144000</v>
      </c>
      <c r="K90" s="157"/>
      <c r="L90" s="158"/>
      <c r="M90" s="158"/>
      <c r="N90" s="179"/>
      <c r="O90" s="201"/>
    </row>
    <row r="91" spans="1:15" s="180" customFormat="1" x14ac:dyDescent="0.25">
      <c r="A91" s="137">
        <v>87</v>
      </c>
      <c r="B91" s="167" t="s">
        <v>31</v>
      </c>
      <c r="C91" s="167" t="s">
        <v>282</v>
      </c>
      <c r="D91" s="168">
        <v>3000</v>
      </c>
      <c r="E91" s="169">
        <v>5000</v>
      </c>
      <c r="F91" s="170">
        <v>43</v>
      </c>
      <c r="G91" s="171">
        <v>9</v>
      </c>
      <c r="H91" s="172">
        <f>(Table2423256789101112131415162019212223[[#This Row],[STOK]]-Table2423256789101112131415162019212223[[#This Row],[TERJUAL]])</f>
        <v>34</v>
      </c>
      <c r="I91" s="173">
        <f>(Table2423256789101112131415162019212223[HARGA JUAL]*Table2423256789101112131415162019212223[TERJUAL])-(Table2423256789101112131415162019212223[HARGA POKOK]*Table2423256789101112131415162019212223[TERJUAL])</f>
        <v>18000</v>
      </c>
      <c r="J91" s="173">
        <f>(Table2423256789101112131415162019212223[HARGA JUAL]*Table2423256789101112131415162019212223[TERJUAL])</f>
        <v>45000</v>
      </c>
      <c r="K91" s="173">
        <f>(Table2423256789101112131415162019212223[[#This Row],[HARGA JUAL]]*Table2423256789101112131415162019212223[[#This Row],[SISA]])</f>
        <v>170000</v>
      </c>
      <c r="L91" s="174"/>
      <c r="M91" s="174"/>
      <c r="N91" s="181"/>
      <c r="O91" s="201"/>
    </row>
    <row r="92" spans="1:15" s="180" customFormat="1" x14ac:dyDescent="0.25">
      <c r="A92" s="137">
        <v>88</v>
      </c>
      <c r="B92" s="167" t="s">
        <v>31</v>
      </c>
      <c r="C92" s="167" t="s">
        <v>283</v>
      </c>
      <c r="D92" s="168">
        <v>3000</v>
      </c>
      <c r="E92" s="169">
        <v>5000</v>
      </c>
      <c r="F92" s="170">
        <v>13</v>
      </c>
      <c r="G92" s="171">
        <v>4</v>
      </c>
      <c r="H92" s="172">
        <f>(Table2423256789101112131415162019212223[[#This Row],[STOK]]-Table2423256789101112131415162019212223[[#This Row],[TERJUAL]])</f>
        <v>9</v>
      </c>
      <c r="I92" s="173">
        <f>(Table2423256789101112131415162019212223[HARGA JUAL]*Table2423256789101112131415162019212223[TERJUAL])-(Table2423256789101112131415162019212223[HARGA POKOK]*Table2423256789101112131415162019212223[TERJUAL])</f>
        <v>8000</v>
      </c>
      <c r="J92" s="173">
        <f>(Table2423256789101112131415162019212223[HARGA JUAL]*Table2423256789101112131415162019212223[TERJUAL])</f>
        <v>20000</v>
      </c>
      <c r="K92" s="173">
        <f>(Table2423256789101112131415162019212223[[#This Row],[HARGA JUAL]]*Table2423256789101112131415162019212223[[#This Row],[SISA]])</f>
        <v>45000</v>
      </c>
      <c r="L92" s="174"/>
      <c r="M92" s="174"/>
      <c r="N92" s="181"/>
      <c r="O92" s="201"/>
    </row>
    <row r="93" spans="1:15" s="180" customFormat="1" x14ac:dyDescent="0.25">
      <c r="A93" s="137">
        <v>89</v>
      </c>
      <c r="B93" s="167" t="s">
        <v>31</v>
      </c>
      <c r="C93" s="167" t="s">
        <v>284</v>
      </c>
      <c r="D93" s="168">
        <v>3000</v>
      </c>
      <c r="E93" s="169">
        <v>5000</v>
      </c>
      <c r="F93" s="170">
        <v>20</v>
      </c>
      <c r="G93" s="171">
        <v>8</v>
      </c>
      <c r="H93" s="172">
        <f>(Table2423256789101112131415162019212223[[#This Row],[STOK]]-Table2423256789101112131415162019212223[[#This Row],[TERJUAL]])</f>
        <v>12</v>
      </c>
      <c r="I93" s="173">
        <f>(Table2423256789101112131415162019212223[HARGA JUAL]*Table2423256789101112131415162019212223[TERJUAL])-(Table2423256789101112131415162019212223[HARGA POKOK]*Table2423256789101112131415162019212223[TERJUAL])</f>
        <v>16000</v>
      </c>
      <c r="J93" s="173">
        <f>(Table2423256789101112131415162019212223[HARGA JUAL]*Table2423256789101112131415162019212223[TERJUAL])</f>
        <v>40000</v>
      </c>
      <c r="K93" s="173">
        <f>(Table2423256789101112131415162019212223[[#This Row],[HARGA JUAL]]*Table2423256789101112131415162019212223[[#This Row],[SISA]])</f>
        <v>60000</v>
      </c>
      <c r="L93" s="174"/>
      <c r="M93" s="174"/>
      <c r="N93" s="181"/>
      <c r="O93" s="201"/>
    </row>
    <row r="94" spans="1:15" s="180" customFormat="1" x14ac:dyDescent="0.25">
      <c r="A94" s="137">
        <v>90</v>
      </c>
      <c r="B94" s="167" t="s">
        <v>31</v>
      </c>
      <c r="C94" s="167" t="s">
        <v>307</v>
      </c>
      <c r="D94" s="168">
        <v>2000</v>
      </c>
      <c r="E94" s="169">
        <v>5000</v>
      </c>
      <c r="F94" s="170">
        <v>35</v>
      </c>
      <c r="G94" s="171">
        <v>16</v>
      </c>
      <c r="H94" s="172">
        <f>(Table2423256789101112131415162019212223[[#This Row],[STOK]]-Table2423256789101112131415162019212223[[#This Row],[TERJUAL]])</f>
        <v>19</v>
      </c>
      <c r="I94" s="173">
        <f>(Table2423256789101112131415162019212223[HARGA JUAL]*Table2423256789101112131415162019212223[TERJUAL])-(Table2423256789101112131415162019212223[HARGA POKOK]*Table2423256789101112131415162019212223[TERJUAL])</f>
        <v>48000</v>
      </c>
      <c r="J94" s="173">
        <f>(Table2423256789101112131415162019212223[HARGA JUAL]*Table2423256789101112131415162019212223[TERJUAL])</f>
        <v>80000</v>
      </c>
      <c r="K94" s="173">
        <f>Table2423256789101112131415162019212223[HARGA JUAL]*Table2423256789101112131415162019212223[SISA]</f>
        <v>95000</v>
      </c>
      <c r="L94" s="174"/>
      <c r="M94" s="174"/>
      <c r="N94" s="181"/>
      <c r="O94" s="201"/>
    </row>
    <row r="95" spans="1:15" s="180" customFormat="1" x14ac:dyDescent="0.25">
      <c r="A95" s="137">
        <v>91</v>
      </c>
      <c r="B95" s="167" t="s">
        <v>308</v>
      </c>
      <c r="C95" s="167" t="s">
        <v>205</v>
      </c>
      <c r="D95" s="168">
        <v>45000</v>
      </c>
      <c r="E95" s="169">
        <v>50000</v>
      </c>
      <c r="F95" s="170"/>
      <c r="G95" s="171"/>
      <c r="H95" s="172">
        <f>(Table2423256789101112131415162019212223[[#This Row],[STOK]]-Table2423256789101112131415162019212223[[#This Row],[TERJUAL]])</f>
        <v>0</v>
      </c>
      <c r="I95" s="173">
        <f>(Table2423256789101112131415162019212223[HARGA JUAL]*Table2423256789101112131415162019212223[TERJUAL])-(Table2423256789101112131415162019212223[HARGA POKOK]*Table2423256789101112131415162019212223[TERJUAL])</f>
        <v>0</v>
      </c>
      <c r="J95" s="173">
        <f>(Table2423256789101112131415162019212223[HARGA JUAL]*Table2423256789101112131415162019212223[TERJUAL])</f>
        <v>0</v>
      </c>
      <c r="K95" s="173">
        <f>Table2423256789101112131415162019212223[HARGA JUAL]*Table2423256789101112131415162019212223[SISA]</f>
        <v>0</v>
      </c>
      <c r="L95" s="174"/>
      <c r="M95" s="174"/>
      <c r="N95" s="181"/>
      <c r="O95" s="201"/>
    </row>
    <row r="96" spans="1:15" s="180" customFormat="1" x14ac:dyDescent="0.25">
      <c r="A96" s="137">
        <v>92</v>
      </c>
      <c r="B96" s="167" t="s">
        <v>331</v>
      </c>
      <c r="C96" s="167" t="s">
        <v>332</v>
      </c>
      <c r="D96" s="168">
        <v>85000</v>
      </c>
      <c r="E96" s="169">
        <v>115000</v>
      </c>
      <c r="F96" s="170"/>
      <c r="G96" s="171"/>
      <c r="H96" s="172">
        <f>(Table2423256789101112131415162019212223[[#This Row],[STOK]]-Table2423256789101112131415162019212223[[#This Row],[TERJUAL]])</f>
        <v>0</v>
      </c>
      <c r="I96" s="173">
        <f>(Table2423256789101112131415162019212223[HARGA JUAL]*Table2423256789101112131415162019212223[TERJUAL])-(Table2423256789101112131415162019212223[HARGA POKOK]*Table2423256789101112131415162019212223[TERJUAL])</f>
        <v>0</v>
      </c>
      <c r="J96" s="173">
        <f>(Table2423256789101112131415162019212223[HARGA JUAL]*Table2423256789101112131415162019212223[TERJUAL])</f>
        <v>0</v>
      </c>
      <c r="K96" s="173">
        <f>Table2423256789101112131415162019212223[HARGA JUAL]*Table2423256789101112131415162019212223[SISA]</f>
        <v>0</v>
      </c>
      <c r="L96" s="174"/>
      <c r="M96" s="174"/>
      <c r="N96" s="181"/>
      <c r="O96" s="201"/>
    </row>
    <row r="97" spans="1:14" ht="18.75" x14ac:dyDescent="0.25">
      <c r="A97" s="404" t="s">
        <v>8</v>
      </c>
      <c r="B97" s="404"/>
      <c r="C97" s="404"/>
      <c r="D97" s="404"/>
      <c r="E97" s="404"/>
      <c r="F97" s="39"/>
      <c r="G97" s="39"/>
      <c r="H97" s="40"/>
      <c r="I97" s="175">
        <f>SUM(I5:I96)</f>
        <v>18928400</v>
      </c>
      <c r="J97" s="176">
        <f>SUM(J5:J96)</f>
        <v>92465000</v>
      </c>
      <c r="K97" s="41">
        <f>SUM(K5:K96)</f>
        <v>187580000</v>
      </c>
      <c r="L97" s="177">
        <f>SUM(L5:L96)</f>
        <v>209018000</v>
      </c>
      <c r="M97" s="42">
        <f>SUM(M5:M96)</f>
        <v>262673000</v>
      </c>
      <c r="N97" s="145"/>
    </row>
    <row r="98" spans="1:14" x14ac:dyDescent="0.25">
      <c r="B98" s="1"/>
      <c r="C98" s="3"/>
      <c r="G98" s="1"/>
      <c r="H98" s="11"/>
      <c r="I98" s="6"/>
      <c r="J98" s="6"/>
      <c r="K98" s="6"/>
      <c r="L98" s="1"/>
      <c r="M98" s="1"/>
    </row>
    <row r="99" spans="1:14" x14ac:dyDescent="0.25">
      <c r="A99" s="165"/>
      <c r="B99" s="28"/>
      <c r="C99" s="28"/>
      <c r="E99" s="386" t="s">
        <v>360</v>
      </c>
      <c r="F99" s="386"/>
      <c r="G99" s="386"/>
      <c r="H99" s="386"/>
      <c r="I99" s="386"/>
      <c r="J99" s="386"/>
      <c r="K99" s="320"/>
      <c r="L99" s="1"/>
      <c r="M99" s="1"/>
    </row>
    <row r="100" spans="1:14" x14ac:dyDescent="0.25">
      <c r="A100" s="165" t="s">
        <v>198</v>
      </c>
      <c r="B100" s="28"/>
      <c r="C100" s="28"/>
      <c r="E100" s="161"/>
      <c r="F100" s="161"/>
      <c r="G100" s="387"/>
      <c r="H100" s="387"/>
      <c r="I100" s="28"/>
      <c r="J100" s="28"/>
      <c r="K100" s="28"/>
      <c r="L100" s="7"/>
    </row>
    <row r="101" spans="1:14" x14ac:dyDescent="0.25">
      <c r="A101" s="165" t="s">
        <v>199</v>
      </c>
      <c r="B101" s="1"/>
      <c r="C101" s="3"/>
      <c r="E101" s="161"/>
      <c r="F101" s="161"/>
      <c r="G101" s="94"/>
      <c r="H101" s="94"/>
      <c r="I101" s="28"/>
      <c r="J101" s="28"/>
      <c r="K101" s="28"/>
      <c r="L101" s="28"/>
    </row>
    <row r="102" spans="1:14" x14ac:dyDescent="0.25">
      <c r="A102" s="165" t="s">
        <v>200</v>
      </c>
      <c r="E102" s="43" t="s">
        <v>82</v>
      </c>
      <c r="F102" s="44"/>
      <c r="G102" s="390">
        <f>SUBTOTAL(109,Table2423256789101112131415162019212223[TOTAL H. B. LAKU TERJUAL])</f>
        <v>92465000</v>
      </c>
      <c r="H102" s="390"/>
      <c r="I102" s="390"/>
      <c r="J102" s="43"/>
      <c r="K102" s="7"/>
      <c r="L102" s="27"/>
      <c r="M102" s="1"/>
    </row>
    <row r="103" spans="1:14" x14ac:dyDescent="0.25">
      <c r="A103" s="165" t="s">
        <v>363</v>
      </c>
      <c r="C103" s="1"/>
      <c r="E103" s="43"/>
      <c r="F103" s="44"/>
      <c r="G103" s="321"/>
      <c r="H103" s="321"/>
      <c r="I103" s="321"/>
      <c r="J103" s="43"/>
      <c r="K103" s="7"/>
      <c r="L103" s="27"/>
      <c r="M103" s="1"/>
    </row>
    <row r="104" spans="1:14" x14ac:dyDescent="0.25">
      <c r="A104" s="407" t="s">
        <v>0</v>
      </c>
      <c r="B104" s="406" t="s">
        <v>275</v>
      </c>
      <c r="C104" s="406"/>
      <c r="E104" s="43" t="s">
        <v>83</v>
      </c>
      <c r="F104" s="45" t="s">
        <v>84</v>
      </c>
      <c r="G104" s="391">
        <v>1386000</v>
      </c>
      <c r="H104" s="391"/>
      <c r="I104" s="391"/>
      <c r="J104" s="43"/>
      <c r="K104" s="7"/>
      <c r="L104" s="27"/>
      <c r="M104" s="1"/>
    </row>
    <row r="105" spans="1:14" x14ac:dyDescent="0.25">
      <c r="A105" s="407"/>
      <c r="B105" s="225" t="s">
        <v>276</v>
      </c>
      <c r="C105" s="228" t="s">
        <v>277</v>
      </c>
      <c r="E105" s="43" t="s">
        <v>8</v>
      </c>
      <c r="F105" s="43"/>
      <c r="G105" s="392">
        <v>91079000</v>
      </c>
      <c r="H105" s="392"/>
      <c r="I105" s="392"/>
      <c r="J105" s="43"/>
      <c r="K105" s="7"/>
      <c r="L105" s="27"/>
      <c r="M105" s="1"/>
    </row>
    <row r="106" spans="1:14" x14ac:dyDescent="0.25">
      <c r="A106" s="145"/>
      <c r="B106" s="228">
        <v>92</v>
      </c>
      <c r="C106" s="228">
        <v>32</v>
      </c>
      <c r="M106" s="1"/>
    </row>
    <row r="107" spans="1:14" x14ac:dyDescent="0.25">
      <c r="A107" s="7"/>
      <c r="B107" s="322"/>
      <c r="C107" s="322"/>
      <c r="M107" s="1"/>
    </row>
    <row r="108" spans="1:14" x14ac:dyDescent="0.25">
      <c r="A108" s="7"/>
      <c r="B108" s="322"/>
      <c r="C108" s="322"/>
      <c r="M108" s="1"/>
    </row>
    <row r="109" spans="1:14" x14ac:dyDescent="0.25">
      <c r="A109" s="7"/>
      <c r="B109" s="322"/>
      <c r="C109" s="322"/>
      <c r="M109" s="1"/>
    </row>
    <row r="110" spans="1:14" x14ac:dyDescent="0.25">
      <c r="A110" s="7"/>
      <c r="B110" s="322"/>
      <c r="C110" s="322"/>
      <c r="M110" s="1"/>
    </row>
    <row r="111" spans="1:14" x14ac:dyDescent="0.25">
      <c r="A111" s="7"/>
      <c r="B111" s="322"/>
      <c r="C111" s="322"/>
      <c r="M111" s="1"/>
    </row>
    <row r="112" spans="1:14" x14ac:dyDescent="0.25">
      <c r="A112" s="7"/>
      <c r="B112" s="322"/>
      <c r="C112" s="322"/>
      <c r="M112" s="1"/>
    </row>
    <row r="113" spans="1:13" x14ac:dyDescent="0.25">
      <c r="A113" s="7"/>
      <c r="B113" s="322"/>
      <c r="C113" s="322"/>
      <c r="M113" s="1"/>
    </row>
    <row r="114" spans="1:13" x14ac:dyDescent="0.25">
      <c r="A114" s="7"/>
      <c r="B114" s="322"/>
      <c r="C114" s="322"/>
      <c r="M114" s="1"/>
    </row>
    <row r="115" spans="1:13" x14ac:dyDescent="0.25">
      <c r="A115" s="7"/>
      <c r="B115" s="322"/>
      <c r="C115" s="322"/>
      <c r="M115" s="1"/>
    </row>
    <row r="116" spans="1:13" x14ac:dyDescent="0.25">
      <c r="A116" s="7"/>
      <c r="B116" s="322"/>
      <c r="C116" s="322"/>
      <c r="M116" s="1"/>
    </row>
    <row r="117" spans="1:13" x14ac:dyDescent="0.25">
      <c r="A117" s="7"/>
      <c r="B117" s="322"/>
      <c r="C117" s="322"/>
      <c r="M117" s="1"/>
    </row>
    <row r="118" spans="1:13" x14ac:dyDescent="0.25">
      <c r="A118" s="7"/>
      <c r="B118" s="322"/>
      <c r="C118" s="322"/>
      <c r="M118" s="1"/>
    </row>
    <row r="119" spans="1:13" x14ac:dyDescent="0.25">
      <c r="A119" s="7"/>
      <c r="B119" s="322"/>
      <c r="C119" s="322"/>
      <c r="M119" s="1"/>
    </row>
    <row r="120" spans="1:13" x14ac:dyDescent="0.25">
      <c r="A120" s="7"/>
      <c r="B120" s="322"/>
      <c r="C120" s="322"/>
      <c r="M120" s="1"/>
    </row>
    <row r="121" spans="1:13" x14ac:dyDescent="0.25">
      <c r="A121" s="7"/>
      <c r="B121" s="322"/>
      <c r="C121" s="322"/>
      <c r="M121" s="1"/>
    </row>
    <row r="122" spans="1:13" x14ac:dyDescent="0.25">
      <c r="A122" s="7"/>
      <c r="B122" s="322"/>
      <c r="C122" s="322"/>
      <c r="M122" s="1"/>
    </row>
    <row r="123" spans="1:13" x14ac:dyDescent="0.25">
      <c r="A123" s="7"/>
      <c r="B123" s="322"/>
      <c r="C123" s="322"/>
      <c r="M123" s="1"/>
    </row>
    <row r="124" spans="1:13" x14ac:dyDescent="0.25">
      <c r="A124" s="7"/>
      <c r="B124" s="322"/>
      <c r="C124" s="322"/>
      <c r="M124" s="1"/>
    </row>
    <row r="125" spans="1:13" x14ac:dyDescent="0.25">
      <c r="A125" s="7"/>
      <c r="B125" s="322"/>
      <c r="C125" s="322"/>
      <c r="M125" s="1"/>
    </row>
    <row r="126" spans="1:13" x14ac:dyDescent="0.25">
      <c r="A126" s="7"/>
      <c r="B126" s="322"/>
      <c r="C126" s="322"/>
      <c r="M126" s="1"/>
    </row>
    <row r="127" spans="1:13" x14ac:dyDescent="0.25">
      <c r="A127" s="7"/>
      <c r="B127" s="322"/>
      <c r="C127" s="322"/>
      <c r="M127" s="1"/>
    </row>
    <row r="128" spans="1:13" x14ac:dyDescent="0.25">
      <c r="A128" s="7"/>
      <c r="B128" s="322"/>
      <c r="C128" s="322"/>
      <c r="M128" s="1"/>
    </row>
    <row r="129" spans="1:13" x14ac:dyDescent="0.25">
      <c r="A129" s="7"/>
      <c r="B129" s="322"/>
      <c r="C129" s="322"/>
      <c r="M129" s="1"/>
    </row>
    <row r="130" spans="1:13" x14ac:dyDescent="0.25">
      <c r="A130" s="7"/>
      <c r="B130" s="322"/>
      <c r="C130" s="322"/>
      <c r="M130" s="1"/>
    </row>
    <row r="131" spans="1:13" x14ac:dyDescent="0.25">
      <c r="A131" s="7"/>
      <c r="B131" s="322"/>
      <c r="C131" s="322"/>
      <c r="M131" s="1"/>
    </row>
    <row r="132" spans="1:13" x14ac:dyDescent="0.25">
      <c r="A132" s="7"/>
      <c r="B132" s="322"/>
      <c r="C132" s="322"/>
      <c r="M132" s="1"/>
    </row>
    <row r="133" spans="1:13" x14ac:dyDescent="0.25">
      <c r="A133" s="7"/>
      <c r="B133" s="322"/>
      <c r="C133" s="322"/>
      <c r="M133" s="1"/>
    </row>
    <row r="134" spans="1:13" x14ac:dyDescent="0.25">
      <c r="A134" s="7"/>
      <c r="B134" s="322"/>
      <c r="C134" s="322"/>
      <c r="M134" s="1"/>
    </row>
    <row r="135" spans="1:13" x14ac:dyDescent="0.25">
      <c r="A135" s="7"/>
      <c r="B135" s="322"/>
      <c r="C135" s="322"/>
      <c r="M135" s="1"/>
    </row>
    <row r="136" spans="1:13" ht="18.75" x14ac:dyDescent="0.3">
      <c r="A136" s="360" t="s">
        <v>99</v>
      </c>
      <c r="B136" s="360"/>
      <c r="C136" s="360"/>
      <c r="D136" s="360"/>
    </row>
    <row r="137" spans="1:13" ht="18.75" x14ac:dyDescent="0.3">
      <c r="A137" s="360" t="s">
        <v>351</v>
      </c>
      <c r="B137" s="360"/>
      <c r="C137" s="360"/>
      <c r="D137" s="360"/>
    </row>
    <row r="138" spans="1:13" ht="18.75" x14ac:dyDescent="0.3">
      <c r="A138" s="360" t="s">
        <v>75</v>
      </c>
      <c r="B138" s="360"/>
      <c r="C138" s="360"/>
      <c r="D138" s="360"/>
    </row>
    <row r="139" spans="1:13" ht="15.75" x14ac:dyDescent="0.25">
      <c r="A139" s="356" t="s">
        <v>111</v>
      </c>
      <c r="B139" s="357"/>
      <c r="C139" s="356" t="s">
        <v>77</v>
      </c>
      <c r="D139" s="357"/>
      <c r="E139" s="7"/>
    </row>
    <row r="140" spans="1:13" ht="15.75" x14ac:dyDescent="0.25">
      <c r="A140" s="318" t="s">
        <v>103</v>
      </c>
      <c r="B140" s="319"/>
      <c r="C140" s="46"/>
      <c r="D140" s="203"/>
      <c r="E140" s="218"/>
    </row>
    <row r="141" spans="1:13" ht="15.75" x14ac:dyDescent="0.25">
      <c r="A141" s="354" t="s">
        <v>102</v>
      </c>
      <c r="B141" s="355"/>
      <c r="C141" s="46">
        <v>91079000</v>
      </c>
      <c r="D141" s="204"/>
      <c r="E141" s="219"/>
    </row>
    <row r="142" spans="1:13" ht="15.75" x14ac:dyDescent="0.25">
      <c r="A142" s="356" t="s">
        <v>104</v>
      </c>
      <c r="B142" s="357"/>
      <c r="C142" s="46"/>
      <c r="D142" s="203">
        <v>91079000</v>
      </c>
      <c r="E142" s="219"/>
    </row>
    <row r="143" spans="1:13" ht="15.75" x14ac:dyDescent="0.25">
      <c r="A143" s="350" t="s">
        <v>106</v>
      </c>
      <c r="B143" s="351"/>
      <c r="C143" s="46"/>
      <c r="D143" s="204">
        <v>72150600</v>
      </c>
      <c r="E143" s="219"/>
      <c r="F143" s="220"/>
      <c r="G143" s="220"/>
      <c r="H143" s="221"/>
      <c r="I143" s="222"/>
    </row>
    <row r="144" spans="1:13" ht="15.75" x14ac:dyDescent="0.25">
      <c r="A144" s="400" t="s">
        <v>162</v>
      </c>
      <c r="B144" s="401"/>
      <c r="C144" s="49"/>
      <c r="D144" s="205">
        <f>(D142-D143)</f>
        <v>18928400</v>
      </c>
      <c r="F144" s="7"/>
      <c r="G144" s="7"/>
      <c r="I144" s="186"/>
      <c r="L144" s="183"/>
    </row>
    <row r="145" spans="1:12" ht="15.75" x14ac:dyDescent="0.25">
      <c r="A145" s="346" t="s">
        <v>105</v>
      </c>
      <c r="B145" s="347"/>
      <c r="C145" s="46"/>
      <c r="D145" s="207"/>
      <c r="I145" s="186"/>
      <c r="L145" s="183"/>
    </row>
    <row r="146" spans="1:12" ht="15.75" x14ac:dyDescent="0.25">
      <c r="A146" s="348" t="s">
        <v>97</v>
      </c>
      <c r="B146" s="349"/>
      <c r="C146" s="46">
        <v>4500000</v>
      </c>
      <c r="D146" s="204"/>
      <c r="I146" s="187"/>
      <c r="L146" s="183"/>
    </row>
    <row r="147" spans="1:12" ht="15.75" x14ac:dyDescent="0.25">
      <c r="A147" s="350" t="s">
        <v>98</v>
      </c>
      <c r="B147" s="351"/>
      <c r="C147" s="46">
        <v>520000</v>
      </c>
      <c r="D147" s="204"/>
      <c r="L147" s="183"/>
    </row>
    <row r="148" spans="1:12" ht="15.75" x14ac:dyDescent="0.25">
      <c r="A148" s="350" t="s">
        <v>287</v>
      </c>
      <c r="B148" s="351"/>
      <c r="C148" s="46">
        <v>100000</v>
      </c>
      <c r="D148" s="204"/>
      <c r="L148" s="183"/>
    </row>
    <row r="149" spans="1:12" ht="15.75" x14ac:dyDescent="0.25">
      <c r="A149" s="350" t="s">
        <v>364</v>
      </c>
      <c r="B149" s="410"/>
      <c r="C149" s="46">
        <v>1200000</v>
      </c>
      <c r="D149" s="204"/>
      <c r="L149" s="183"/>
    </row>
    <row r="150" spans="1:12" ht="15.75" x14ac:dyDescent="0.25">
      <c r="A150" s="408" t="s">
        <v>288</v>
      </c>
      <c r="B150" s="409"/>
      <c r="C150" s="114">
        <v>284000</v>
      </c>
      <c r="D150" s="208"/>
    </row>
    <row r="151" spans="1:12" ht="15.75" x14ac:dyDescent="0.25">
      <c r="A151" s="352" t="s">
        <v>107</v>
      </c>
      <c r="B151" s="353"/>
      <c r="C151" s="51" t="s">
        <v>117</v>
      </c>
      <c r="D151" s="209">
        <f>SUM(C146:C150)</f>
        <v>6604000</v>
      </c>
    </row>
    <row r="152" spans="1:12" ht="15.75" x14ac:dyDescent="0.25">
      <c r="A152" s="344" t="s">
        <v>108</v>
      </c>
      <c r="B152" s="345"/>
      <c r="C152" s="51"/>
      <c r="D152" s="204"/>
    </row>
    <row r="153" spans="1:12" ht="15.75" x14ac:dyDescent="0.25">
      <c r="A153" s="346" t="s">
        <v>109</v>
      </c>
      <c r="B153" s="347"/>
      <c r="C153" s="48"/>
      <c r="D153" s="205">
        <f>(D144-D151)</f>
        <v>12324400</v>
      </c>
    </row>
    <row r="155" spans="1:12" ht="15.75" x14ac:dyDescent="0.25">
      <c r="A155" s="328" t="s">
        <v>365</v>
      </c>
      <c r="B155" s="329"/>
      <c r="C155" s="329"/>
      <c r="D155" s="330"/>
    </row>
    <row r="156" spans="1:12" ht="15.75" x14ac:dyDescent="0.25">
      <c r="A156" s="331" t="s">
        <v>366</v>
      </c>
      <c r="B156" s="330"/>
      <c r="C156" s="330"/>
    </row>
    <row r="157" spans="1:12" ht="15.75" x14ac:dyDescent="0.25">
      <c r="A157" s="331" t="s">
        <v>367</v>
      </c>
      <c r="B157" s="330"/>
      <c r="C157" s="330"/>
    </row>
    <row r="158" spans="1:12" ht="15.75" x14ac:dyDescent="0.25">
      <c r="A158" s="331" t="s">
        <v>368</v>
      </c>
      <c r="B158" s="330"/>
      <c r="C158" s="330"/>
    </row>
    <row r="159" spans="1:12" x14ac:dyDescent="0.25">
      <c r="A159" s="7"/>
    </row>
    <row r="160" spans="1:12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</sheetData>
  <mergeCells count="28">
    <mergeCell ref="A148:B148"/>
    <mergeCell ref="A137:D137"/>
    <mergeCell ref="A1:N1"/>
    <mergeCell ref="A2:N2"/>
    <mergeCell ref="A97:E97"/>
    <mergeCell ref="E99:J99"/>
    <mergeCell ref="G100:H100"/>
    <mergeCell ref="G102:I102"/>
    <mergeCell ref="A104:A105"/>
    <mergeCell ref="B104:C104"/>
    <mergeCell ref="G104:I104"/>
    <mergeCell ref="G105:I105"/>
    <mergeCell ref="A136:D136"/>
    <mergeCell ref="A143:B143"/>
    <mergeCell ref="A144:B144"/>
    <mergeCell ref="A145:B145"/>
    <mergeCell ref="A146:B146"/>
    <mergeCell ref="A147:B147"/>
    <mergeCell ref="A138:D138"/>
    <mergeCell ref="A139:B139"/>
    <mergeCell ref="C139:D139"/>
    <mergeCell ref="A141:B141"/>
    <mergeCell ref="A142:B142"/>
    <mergeCell ref="A150:B150"/>
    <mergeCell ref="A151:B151"/>
    <mergeCell ref="A152:B152"/>
    <mergeCell ref="A153:B153"/>
    <mergeCell ref="A149:B14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5"/>
  <sheetViews>
    <sheetView topLeftCell="A151" workbookViewId="0">
      <selection activeCell="D72" sqref="D72"/>
    </sheetView>
  </sheetViews>
  <sheetFormatPr defaultRowHeight="15" x14ac:dyDescent="0.25"/>
  <cols>
    <col min="2" max="2" width="22.5703125" bestFit="1" customWidth="1"/>
    <col min="3" max="3" width="28.140625" bestFit="1" customWidth="1"/>
    <col min="4" max="4" width="20.28515625" bestFit="1" customWidth="1"/>
    <col min="5" max="5" width="17.85546875" bestFit="1" customWidth="1"/>
    <col min="6" max="6" width="10.140625" customWidth="1"/>
    <col min="7" max="7" width="9.5703125" customWidth="1"/>
    <col min="9" max="9" width="21.140625" bestFit="1" customWidth="1"/>
    <col min="10" max="10" width="21.140625" customWidth="1"/>
    <col min="11" max="11" width="21.85546875" customWidth="1"/>
    <col min="12" max="12" width="20.7109375" customWidth="1"/>
    <col min="13" max="13" width="22.14062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357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244" t="s">
        <v>0</v>
      </c>
      <c r="B4" s="245" t="s">
        <v>1</v>
      </c>
      <c r="C4" s="246" t="s">
        <v>2</v>
      </c>
      <c r="D4" s="245" t="s">
        <v>119</v>
      </c>
      <c r="E4" s="245" t="s">
        <v>3</v>
      </c>
      <c r="F4" s="247" t="s">
        <v>4</v>
      </c>
      <c r="G4" s="247" t="s">
        <v>5</v>
      </c>
      <c r="H4" s="248" t="s">
        <v>6</v>
      </c>
      <c r="I4" s="249" t="s">
        <v>7</v>
      </c>
      <c r="J4" s="249" t="s">
        <v>115</v>
      </c>
      <c r="K4" s="249" t="s">
        <v>92</v>
      </c>
      <c r="L4" s="247" t="s">
        <v>116</v>
      </c>
      <c r="M4" s="247" t="s">
        <v>81</v>
      </c>
      <c r="N4" s="247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92500</v>
      </c>
      <c r="E5" s="140">
        <v>112000</v>
      </c>
      <c r="F5" s="271">
        <v>119</v>
      </c>
      <c r="G5" s="142">
        <v>119</v>
      </c>
      <c r="H5" s="141">
        <f>(Table242325678910111213141516201921222325[[#This Row],[STOK]]-Table242325678910111213141516201921222325[[#This Row],[TERJUAL]])</f>
        <v>0</v>
      </c>
      <c r="I5" s="143">
        <f>(Table242325678910111213141516201921222325[HARGA JUAL]*Table242325678910111213141516201921222325[TERJUAL])-(Table242325678910111213141516201921222325[HARGA POKOK]*Table242325678910111213141516201921222325[TERJUAL])</f>
        <v>2320500</v>
      </c>
      <c r="J5" s="143">
        <f>(Table242325678910111213141516201921222325[HARGA JUAL]*Table242325678910111213141516201921222325[TERJUAL])</f>
        <v>13328000</v>
      </c>
      <c r="K5" s="143">
        <f>Table242325678910111213141516201921222325[HARGA JUAL]*Table242325678910111213141516201921222325[SISA]</f>
        <v>0</v>
      </c>
      <c r="L5" s="144">
        <f>Table242325678910111213141516201921222325[HARGA POKOK]*Table242325678910111213141516201921222325[STOK]</f>
        <v>11007500</v>
      </c>
      <c r="M5" s="144">
        <f>Table242325678910111213141516201921222325[HARGA JUAL]*Table242325678910111213141516201921222325[STOK]</f>
        <v>13328000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90000</v>
      </c>
      <c r="F6" s="270">
        <v>3</v>
      </c>
      <c r="G6" s="142"/>
      <c r="H6" s="141">
        <f>(Table242325678910111213141516201921222325[[#This Row],[STOK]]-Table242325678910111213141516201921222325[[#This Row],[TERJUAL]])</f>
        <v>3</v>
      </c>
      <c r="I6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6" s="143">
        <f>(Table242325678910111213141516201921222325[HARGA JUAL]*Table242325678910111213141516201921222325[TERJUAL])</f>
        <v>0</v>
      </c>
      <c r="K6" s="143">
        <f>Table242325678910111213141516201921222325[HARGA JUAL]*Table242325678910111213141516201921222325[SISA]</f>
        <v>270000</v>
      </c>
      <c r="L6" s="144">
        <f>Table242325678910111213141516201921222325[HARGA POKOK]*Table242325678910111213141516201921222325[STOK]</f>
        <v>180000</v>
      </c>
      <c r="M6" s="144">
        <f>Table242325678910111213141516201921222325[HARGA JUAL]*Table242325678910111213141516201921222325[STOK]</f>
        <v>270000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54500</v>
      </c>
      <c r="E7" s="140">
        <v>70000</v>
      </c>
      <c r="F7" s="141">
        <v>18</v>
      </c>
      <c r="G7" s="142">
        <v>10</v>
      </c>
      <c r="H7" s="141">
        <f>(Table242325678910111213141516201921222325[[#This Row],[STOK]]-Table242325678910111213141516201921222325[[#This Row],[TERJUAL]])</f>
        <v>8</v>
      </c>
      <c r="I7" s="143">
        <f>(Table242325678910111213141516201921222325[HARGA JUAL]*Table242325678910111213141516201921222325[TERJUAL])-(Table242325678910111213141516201921222325[HARGA POKOK]*Table242325678910111213141516201921222325[TERJUAL])</f>
        <v>155000</v>
      </c>
      <c r="J7" s="143">
        <f>(Table242325678910111213141516201921222325[HARGA JUAL]*Table242325678910111213141516201921222325[TERJUAL])</f>
        <v>700000</v>
      </c>
      <c r="K7" s="143">
        <f>Table242325678910111213141516201921222325[HARGA JUAL]*Table242325678910111213141516201921222325[SISA]</f>
        <v>560000</v>
      </c>
      <c r="L7" s="144">
        <f>Table242325678910111213141516201921222325[HARGA POKOK]*Table242325678910111213141516201921222325[STOK]</f>
        <v>981000</v>
      </c>
      <c r="M7" s="144">
        <f>Table242325678910111213141516201921222325[HARGA JUAL]*Table242325678910111213141516201921222325[STOK]</f>
        <v>1260000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67500</v>
      </c>
      <c r="E8" s="140">
        <v>90000</v>
      </c>
      <c r="F8" s="141">
        <v>103</v>
      </c>
      <c r="G8" s="142">
        <v>32</v>
      </c>
      <c r="H8" s="141">
        <f>(Table242325678910111213141516201921222325[[#This Row],[STOK]]-Table242325678910111213141516201921222325[[#This Row],[TERJUAL]])</f>
        <v>71</v>
      </c>
      <c r="I8" s="143">
        <f>(Table242325678910111213141516201921222325[HARGA JUAL]*Table242325678910111213141516201921222325[TERJUAL])-(Table242325678910111213141516201921222325[HARGA POKOK]*Table242325678910111213141516201921222325[TERJUAL])</f>
        <v>720000</v>
      </c>
      <c r="J8" s="143">
        <f>(Table242325678910111213141516201921222325[HARGA JUAL]*Table242325678910111213141516201921222325[TERJUAL])</f>
        <v>2880000</v>
      </c>
      <c r="K8" s="143">
        <f>Table242325678910111213141516201921222325[HARGA JUAL]*Table242325678910111213141516201921222325[SISA]</f>
        <v>6390000</v>
      </c>
      <c r="L8" s="144">
        <f>Table242325678910111213141516201921222325[HARGA POKOK]*Table242325678910111213141516201921222325[STOK]</f>
        <v>6952500</v>
      </c>
      <c r="M8" s="144">
        <f>Table242325678910111213141516201921222325[HARGA JUAL]*Table242325678910111213141516201921222325[STOK]</f>
        <v>9270000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62500</v>
      </c>
      <c r="E9" s="140">
        <v>90000</v>
      </c>
      <c r="F9" s="141">
        <v>139</v>
      </c>
      <c r="G9" s="142">
        <v>27</v>
      </c>
      <c r="H9" s="141">
        <f>(Table242325678910111213141516201921222325[[#This Row],[STOK]]-Table242325678910111213141516201921222325[[#This Row],[TERJUAL]])</f>
        <v>112</v>
      </c>
      <c r="I9" s="143">
        <f>(Table242325678910111213141516201921222325[HARGA JUAL]*Table242325678910111213141516201921222325[TERJUAL])-(Table242325678910111213141516201921222325[HARGA POKOK]*Table242325678910111213141516201921222325[TERJUAL])</f>
        <v>742500</v>
      </c>
      <c r="J9" s="143">
        <f>(Table242325678910111213141516201921222325[HARGA JUAL]*Table242325678910111213141516201921222325[TERJUAL])</f>
        <v>2430000</v>
      </c>
      <c r="K9" s="143">
        <f>Table242325678910111213141516201921222325[HARGA JUAL]*Table242325678910111213141516201921222325[SISA]</f>
        <v>10080000</v>
      </c>
      <c r="L9" s="144">
        <f>Table242325678910111213141516201921222325[HARGA POKOK]*Table242325678910111213141516201921222325[STOK]</f>
        <v>8687500</v>
      </c>
      <c r="M9" s="144">
        <f>Table242325678910111213141516201921222325[HARGA JUAL]*Table242325678910111213141516201921222325[STOK]</f>
        <v>12510000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4</v>
      </c>
      <c r="G10" s="142"/>
      <c r="H10" s="141">
        <f>(Table242325678910111213141516201921222325[[#This Row],[STOK]]-Table242325678910111213141516201921222325[[#This Row],[TERJUAL]])</f>
        <v>4</v>
      </c>
      <c r="I10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10" s="143">
        <f>(Table242325678910111213141516201921222325[HARGA JUAL]*Table242325678910111213141516201921222325[TERJUAL])</f>
        <v>0</v>
      </c>
      <c r="K10" s="143">
        <f>Table242325678910111213141516201921222325[HARGA JUAL]*Table242325678910111213141516201921222325[SISA]</f>
        <v>440000</v>
      </c>
      <c r="L10" s="144">
        <f>Table242325678910111213141516201921222325[HARGA POKOK]*Table242325678910111213141516201921222325[STOK]</f>
        <v>334000</v>
      </c>
      <c r="M10" s="144">
        <f>Table242325678910111213141516201921222325[HARGA JUAL]*Table242325678910111213141516201921222325[STOK]</f>
        <v>440000</v>
      </c>
      <c r="N10" s="145"/>
    </row>
    <row r="11" spans="1:14" x14ac:dyDescent="0.25">
      <c r="A11" s="137">
        <v>7</v>
      </c>
      <c r="B11" s="284" t="s">
        <v>28</v>
      </c>
      <c r="C11" s="284" t="s">
        <v>38</v>
      </c>
      <c r="D11" s="285">
        <v>88500</v>
      </c>
      <c r="E11" s="285">
        <v>50000</v>
      </c>
      <c r="F11" s="286">
        <v>6</v>
      </c>
      <c r="G11" s="287">
        <v>1</v>
      </c>
      <c r="H11" s="286">
        <f>(Table242325678910111213141516201921222325[[#This Row],[STOK]]-Table242325678910111213141516201921222325[[#This Row],[TERJUAL]])</f>
        <v>5</v>
      </c>
      <c r="I11" s="288">
        <f>(Table242325678910111213141516201921222325[HARGA JUAL]*Table242325678910111213141516201921222325[TERJUAL])-(Table242325678910111213141516201921222325[HARGA POKOK]*Table242325678910111213141516201921222325[TERJUAL])</f>
        <v>-38500</v>
      </c>
      <c r="J11" s="288">
        <f>(Table242325678910111213141516201921222325[HARGA JUAL]*Table242325678910111213141516201921222325[TERJUAL])</f>
        <v>50000</v>
      </c>
      <c r="K11" s="288">
        <f>Table242325678910111213141516201921222325[HARGA JUAL]*Table242325678910111213141516201921222325[SISA]</f>
        <v>250000</v>
      </c>
      <c r="L11" s="289">
        <f>Table242325678910111213141516201921222325[HARGA POKOK]*Table242325678910111213141516201921222325[STOK]</f>
        <v>531000</v>
      </c>
      <c r="M11" s="289">
        <f>Table242325678910111213141516201921222325[HARGA JUAL]*Table242325678910111213141516201921222325[STOK]</f>
        <v>300000</v>
      </c>
      <c r="N11" s="290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20</v>
      </c>
      <c r="G12" s="142">
        <v>7</v>
      </c>
      <c r="H12" s="141">
        <f>(Table242325678910111213141516201921222325[[#This Row],[STOK]]-Table242325678910111213141516201921222325[[#This Row],[TERJUAL]])</f>
        <v>13</v>
      </c>
      <c r="I12" s="143">
        <f>(Table242325678910111213141516201921222325[HARGA JUAL]*Table242325678910111213141516201921222325[TERJUAL])-(Table242325678910111213141516201921222325[HARGA POKOK]*Table242325678910111213141516201921222325[TERJUAL])</f>
        <v>42000</v>
      </c>
      <c r="J12" s="143">
        <f>(Table242325678910111213141516201921222325[HARGA JUAL]*Table242325678910111213141516201921222325[TERJUAL])</f>
        <v>630000</v>
      </c>
      <c r="K12" s="143">
        <f>Table242325678910111213141516201921222325[HARGA JUAL]*Table242325678910111213141516201921222325[SISA]</f>
        <v>1170000</v>
      </c>
      <c r="L12" s="144">
        <f>Table242325678910111213141516201921222325[HARGA POKOK]*Table242325678910111213141516201921222325[STOK]</f>
        <v>1680000</v>
      </c>
      <c r="M12" s="144">
        <f>Table242325678910111213141516201921222325[HARGA JUAL]*Table242325678910111213141516201921222325[STOK]</f>
        <v>1800000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157500</v>
      </c>
      <c r="E13" s="140">
        <v>180000</v>
      </c>
      <c r="F13" s="141">
        <v>68</v>
      </c>
      <c r="G13" s="142">
        <v>3</v>
      </c>
      <c r="H13" s="141">
        <f>(Table242325678910111213141516201921222325[[#This Row],[STOK]]-Table242325678910111213141516201921222325[[#This Row],[TERJUAL]])</f>
        <v>65</v>
      </c>
      <c r="I13" s="143">
        <f>(Table242325678910111213141516201921222325[HARGA JUAL]*Table242325678910111213141516201921222325[TERJUAL])-(Table242325678910111213141516201921222325[HARGA POKOK]*Table242325678910111213141516201921222325[TERJUAL])</f>
        <v>67500</v>
      </c>
      <c r="J13" s="143">
        <f>(Table242325678910111213141516201921222325[HARGA JUAL]*Table242325678910111213141516201921222325[TERJUAL])</f>
        <v>540000</v>
      </c>
      <c r="K13" s="143">
        <f>Table242325678910111213141516201921222325[HARGA JUAL]*Table242325678910111213141516201921222325[SISA]</f>
        <v>11700000</v>
      </c>
      <c r="L13" s="144">
        <f>Table242325678910111213141516201921222325[HARGA POKOK]*Table242325678910111213141516201921222325[STOK]</f>
        <v>10710000</v>
      </c>
      <c r="M13" s="144">
        <f>Table242325678910111213141516201921222325[HARGA JUAL]*Table242325678910111213141516201921222325[STOK]</f>
        <v>12240000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120000</v>
      </c>
      <c r="F14" s="141"/>
      <c r="G14" s="142"/>
      <c r="H14" s="141">
        <f>(Table242325678910111213141516201921222325[[#This Row],[STOK]]-Table242325678910111213141516201921222325[[#This Row],[TERJUAL]])</f>
        <v>0</v>
      </c>
      <c r="I14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14" s="143">
        <f>(Table242325678910111213141516201921222325[HARGA JUAL]*Table242325678910111213141516201921222325[TERJUAL])</f>
        <v>0</v>
      </c>
      <c r="K14" s="143">
        <f>Table242325678910111213141516201921222325[HARGA JUAL]*Table242325678910111213141516201921222325[SISA]</f>
        <v>0</v>
      </c>
      <c r="L14" s="144">
        <f>Table242325678910111213141516201921222325[HARGA POKOK]*Table242325678910111213141516201921222325[STOK]</f>
        <v>0</v>
      </c>
      <c r="M14" s="144">
        <f>Table242325678910111213141516201921222325[HARGA JUAL]*Table242325678910111213141516201921222325[STOK]</f>
        <v>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35500</v>
      </c>
      <c r="E15" s="140">
        <v>40000</v>
      </c>
      <c r="F15" s="141">
        <v>59</v>
      </c>
      <c r="G15" s="142">
        <v>17</v>
      </c>
      <c r="H15" s="141">
        <f>(Table242325678910111213141516201921222325[[#This Row],[STOK]]-Table242325678910111213141516201921222325[[#This Row],[TERJUAL]])</f>
        <v>42</v>
      </c>
      <c r="I15" s="143">
        <f>(Table242325678910111213141516201921222325[HARGA JUAL]*Table242325678910111213141516201921222325[TERJUAL])-(Table242325678910111213141516201921222325[HARGA POKOK]*Table242325678910111213141516201921222325[TERJUAL])</f>
        <v>76500</v>
      </c>
      <c r="J15" s="143">
        <f>(Table242325678910111213141516201921222325[HARGA JUAL]*Table242325678910111213141516201921222325[TERJUAL])</f>
        <v>680000</v>
      </c>
      <c r="K15" s="143">
        <f>Table242325678910111213141516201921222325[HARGA JUAL]*Table242325678910111213141516201921222325[SISA]</f>
        <v>1680000</v>
      </c>
      <c r="L15" s="144">
        <f>Table242325678910111213141516201921222325[HARGA POKOK]*Table242325678910111213141516201921222325[STOK]</f>
        <v>2094500</v>
      </c>
      <c r="M15" s="144">
        <f>Table242325678910111213141516201921222325[HARGA JUAL]*Table242325678910111213141516201921222325[STOK]</f>
        <v>2360000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82500</v>
      </c>
      <c r="E16" s="140">
        <v>100000</v>
      </c>
      <c r="F16" s="141">
        <v>54</v>
      </c>
      <c r="G16" s="142">
        <v>1</v>
      </c>
      <c r="H16" s="141">
        <f>(Table242325678910111213141516201921222325[[#This Row],[STOK]]-Table242325678910111213141516201921222325[[#This Row],[TERJUAL]])</f>
        <v>53</v>
      </c>
      <c r="I16" s="143">
        <f>(Table242325678910111213141516201921222325[HARGA JUAL]*Table242325678910111213141516201921222325[TERJUAL])-(Table242325678910111213141516201921222325[HARGA POKOK]*Table242325678910111213141516201921222325[TERJUAL])</f>
        <v>17500</v>
      </c>
      <c r="J16" s="143">
        <f>(Table242325678910111213141516201921222325[HARGA JUAL]*Table242325678910111213141516201921222325[TERJUAL])</f>
        <v>100000</v>
      </c>
      <c r="K16" s="143">
        <f>Table242325678910111213141516201921222325[HARGA JUAL]*Table242325678910111213141516201921222325[SISA]</f>
        <v>5300000</v>
      </c>
      <c r="L16" s="144">
        <f>Table242325678910111213141516201921222325[HARGA POKOK]*Table242325678910111213141516201921222325[STOK]</f>
        <v>4455000</v>
      </c>
      <c r="M16" s="144">
        <f>Table242325678910111213141516201921222325[HARGA JUAL]*Table242325678910111213141516201921222325[STOK]</f>
        <v>5400000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43</v>
      </c>
      <c r="G17" s="142"/>
      <c r="H17" s="141">
        <f>(Table242325678910111213141516201921222325[[#This Row],[STOK]]-Table242325678910111213141516201921222325[[#This Row],[TERJUAL]])</f>
        <v>43</v>
      </c>
      <c r="I17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17" s="143">
        <f>(Table242325678910111213141516201921222325[HARGA JUAL]*Table242325678910111213141516201921222325[TERJUAL])</f>
        <v>0</v>
      </c>
      <c r="K17" s="143">
        <f>Table242325678910111213141516201921222325[HARGA JUAL]*Table242325678910111213141516201921222325[SISA]</f>
        <v>3655000</v>
      </c>
      <c r="L17" s="144">
        <f>Table242325678910111213141516201921222325[HARGA POKOK]*Table242325678910111213141516201921222325[STOK]</f>
        <v>2838000</v>
      </c>
      <c r="M17" s="144">
        <f>Table242325678910111213141516201921222325[HARGA JUAL]*Table242325678910111213141516201921222325[STOK]</f>
        <v>3655000</v>
      </c>
      <c r="N17" s="145" t="s">
        <v>292</v>
      </c>
    </row>
    <row r="18" spans="1:14" x14ac:dyDescent="0.25">
      <c r="A18" s="137">
        <v>14</v>
      </c>
      <c r="B18" s="138" t="s">
        <v>28</v>
      </c>
      <c r="C18" s="193" t="s">
        <v>48</v>
      </c>
      <c r="D18" s="140">
        <v>22500</v>
      </c>
      <c r="E18" s="140">
        <v>25000</v>
      </c>
      <c r="F18" s="141">
        <v>335</v>
      </c>
      <c r="G18" s="142">
        <v>17</v>
      </c>
      <c r="H18" s="141">
        <f>(Table242325678910111213141516201921222325[[#This Row],[STOK]]-Table242325678910111213141516201921222325[[#This Row],[TERJUAL]])</f>
        <v>318</v>
      </c>
      <c r="I18" s="143">
        <f>(Table242325678910111213141516201921222325[HARGA JUAL]*Table242325678910111213141516201921222325[TERJUAL])-(Table242325678910111213141516201921222325[HARGA POKOK]*Table242325678910111213141516201921222325[TERJUAL])</f>
        <v>42500</v>
      </c>
      <c r="J18" s="143">
        <f>(Table242325678910111213141516201921222325[HARGA JUAL]*Table242325678910111213141516201921222325[TERJUAL])</f>
        <v>425000</v>
      </c>
      <c r="K18" s="143">
        <f>Table242325678910111213141516201921222325[HARGA JUAL]*Table242325678910111213141516201921222325[SISA]</f>
        <v>7950000</v>
      </c>
      <c r="L18" s="144">
        <f>Table242325678910111213141516201921222325[HARGA POKOK]*Table242325678910111213141516201921222325[STOK]</f>
        <v>7537500</v>
      </c>
      <c r="M18" s="144">
        <f>Table242325678910111213141516201921222325[HARGA JUAL]*Table242325678910111213141516201921222325[STOK]</f>
        <v>8375000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3</v>
      </c>
      <c r="G19" s="142">
        <v>3</v>
      </c>
      <c r="H19" s="141">
        <f>(Table242325678910111213141516201921222325[[#This Row],[STOK]]-Table242325678910111213141516201921222325[[#This Row],[TERJUAL]])</f>
        <v>0</v>
      </c>
      <c r="I19" s="143">
        <f>(Table242325678910111213141516201921222325[HARGA JUAL]*Table242325678910111213141516201921222325[TERJUAL])-(Table242325678910111213141516201921222325[HARGA POKOK]*Table242325678910111213141516201921222325[TERJUAL])</f>
        <v>72000</v>
      </c>
      <c r="J19" s="143">
        <f>(Table242325678910111213141516201921222325[HARGA JUAL]*Table242325678910111213141516201921222325[TERJUAL])</f>
        <v>240000</v>
      </c>
      <c r="K19" s="143">
        <f>Table242325678910111213141516201921222325[HARGA JUAL]*Table242325678910111213141516201921222325[SISA]</f>
        <v>0</v>
      </c>
      <c r="L19" s="144">
        <f>Table242325678910111213141516201921222325[HARGA POKOK]*Table242325678910111213141516201921222325[STOK]</f>
        <v>168000</v>
      </c>
      <c r="M19" s="144">
        <f>Table242325678910111213141516201921222325[HARGA JUAL]*Table242325678910111213141516201921222325[STOK]</f>
        <v>240000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/>
      <c r="G20" s="142"/>
      <c r="H20" s="141">
        <f>(Table242325678910111213141516201921222325[[#This Row],[STOK]]-Table242325678910111213141516201921222325[[#This Row],[TERJUAL]])</f>
        <v>0</v>
      </c>
      <c r="I20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20" s="143">
        <f>(Table242325678910111213141516201921222325[HARGA JUAL]*Table242325678910111213141516201921222325[TERJUAL])</f>
        <v>0</v>
      </c>
      <c r="K20" s="143">
        <f>Table242325678910111213141516201921222325[HARGA JUAL]*Table242325678910111213141516201921222325[SISA]</f>
        <v>0</v>
      </c>
      <c r="L20" s="144">
        <f>Table242325678910111213141516201921222325[HARGA POKOK]*Table242325678910111213141516201921222325[STOK]</f>
        <v>0</v>
      </c>
      <c r="M20" s="144">
        <f>Table242325678910111213141516201921222325[HARGA JUAL]*Table242325678910111213141516201921222325[STOK]</f>
        <v>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61</v>
      </c>
      <c r="G21" s="142">
        <v>1</v>
      </c>
      <c r="H21" s="141">
        <f>(Table242325678910111213141516201921222325[[#This Row],[STOK]]-Table242325678910111213141516201921222325[[#This Row],[TERJUAL]])</f>
        <v>60</v>
      </c>
      <c r="I21" s="143">
        <f>(Table242325678910111213141516201921222325[HARGA JUAL]*Table242325678910111213141516201921222325[TERJUAL])-(Table242325678910111213141516201921222325[HARGA POKOK]*Table242325678910111213141516201921222325[TERJUAL])</f>
        <v>11500</v>
      </c>
      <c r="J21" s="143">
        <f>(Table242325678910111213141516201921222325[HARGA JUAL]*Table242325678910111213141516201921222325[TERJUAL])</f>
        <v>22000</v>
      </c>
      <c r="K21" s="143">
        <f>Table242325678910111213141516201921222325[HARGA JUAL]*Table242325678910111213141516201921222325[SISA]</f>
        <v>1320000</v>
      </c>
      <c r="L21" s="144">
        <f>Table242325678910111213141516201921222325[HARGA POKOK]*Table242325678910111213141516201921222325[STOK]</f>
        <v>640500</v>
      </c>
      <c r="M21" s="144">
        <f>Table242325678910111213141516201921222325[HARGA JUAL]*Table242325678910111213141516201921222325[STOK]</f>
        <v>1342000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53</v>
      </c>
      <c r="G22" s="142">
        <v>1</v>
      </c>
      <c r="H22" s="141">
        <f>(Table242325678910111213141516201921222325[[#This Row],[STOK]]-Table242325678910111213141516201921222325[[#This Row],[TERJUAL]])</f>
        <v>52</v>
      </c>
      <c r="I22" s="143">
        <f>(Table242325678910111213141516201921222325[HARGA JUAL]*Table242325678910111213141516201921222325[TERJUAL])-(Table242325678910111213141516201921222325[HARGA POKOK]*Table242325678910111213141516201921222325[TERJUAL])</f>
        <v>20000</v>
      </c>
      <c r="J22" s="143">
        <f>(Table242325678910111213141516201921222325[HARGA JUAL]*Table242325678910111213141516201921222325[TERJUAL])</f>
        <v>80000</v>
      </c>
      <c r="K22" s="143">
        <f>Table242325678910111213141516201921222325[HARGA JUAL]*Table242325678910111213141516201921222325[SISA]</f>
        <v>4160000</v>
      </c>
      <c r="L22" s="144">
        <f>Table242325678910111213141516201921222325[HARGA POKOK]*Table242325678910111213141516201921222325[STOK]</f>
        <v>3180000</v>
      </c>
      <c r="M22" s="144">
        <f>Table242325678910111213141516201921222325[HARGA JUAL]*Table242325678910111213141516201921222325[STOK]</f>
        <v>4240000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53</v>
      </c>
      <c r="G23" s="142">
        <v>4</v>
      </c>
      <c r="H23" s="141">
        <f>(Table242325678910111213141516201921222325[[#This Row],[STOK]]-Table242325678910111213141516201921222325[[#This Row],[TERJUAL]])</f>
        <v>49</v>
      </c>
      <c r="I23" s="143">
        <f>(Table242325678910111213141516201921222325[HARGA JUAL]*Table242325678910111213141516201921222325[TERJUAL])-(Table242325678910111213141516201921222325[HARGA POKOK]*Table242325678910111213141516201921222325[TERJUAL])</f>
        <v>42000</v>
      </c>
      <c r="J23" s="143">
        <f>(Table242325678910111213141516201921222325[HARGA JUAL]*Table242325678910111213141516201921222325[TERJUAL])</f>
        <v>100000</v>
      </c>
      <c r="K23" s="143">
        <f>Table242325678910111213141516201921222325[HARGA JUAL]*Table242325678910111213141516201921222325[SISA]</f>
        <v>1225000</v>
      </c>
      <c r="L23" s="144">
        <f>Table242325678910111213141516201921222325[HARGA POKOK]*Table242325678910111213141516201921222325[STOK]</f>
        <v>768500</v>
      </c>
      <c r="M23" s="144">
        <f>Table242325678910111213141516201921222325[HARGA JUAL]*Table242325678910111213141516201921222325[STOK]</f>
        <v>1325000</v>
      </c>
      <c r="N23" s="145"/>
    </row>
    <row r="24" spans="1:14" s="340" customFormat="1" x14ac:dyDescent="0.25">
      <c r="A24" s="332">
        <v>20</v>
      </c>
      <c r="B24" s="333" t="s">
        <v>28</v>
      </c>
      <c r="C24" s="333" t="s">
        <v>52</v>
      </c>
      <c r="D24" s="334">
        <v>30000</v>
      </c>
      <c r="E24" s="334">
        <v>15000</v>
      </c>
      <c r="F24" s="335"/>
      <c r="G24" s="336"/>
      <c r="H24" s="335">
        <f>(Table242325678910111213141516201921222325[[#This Row],[STOK]]-Table242325678910111213141516201921222325[[#This Row],[TERJUAL]])</f>
        <v>0</v>
      </c>
      <c r="I24" s="337">
        <f>(Table242325678910111213141516201921222325[HARGA JUAL]*Table242325678910111213141516201921222325[TERJUAL])-(Table242325678910111213141516201921222325[HARGA POKOK]*Table242325678910111213141516201921222325[TERJUAL])</f>
        <v>0</v>
      </c>
      <c r="J24" s="337">
        <f>(Table242325678910111213141516201921222325[HARGA JUAL]*Table242325678910111213141516201921222325[TERJUAL])</f>
        <v>0</v>
      </c>
      <c r="K24" s="337">
        <f>Table242325678910111213141516201921222325[HARGA JUAL]*Table242325678910111213141516201921222325[SISA]</f>
        <v>0</v>
      </c>
      <c r="L24" s="338">
        <f>Table242325678910111213141516201921222325[HARGA POKOK]*Table242325678910111213141516201921222325[STOK]</f>
        <v>0</v>
      </c>
      <c r="M24" s="338">
        <f>Table242325678910111213141516201921222325[HARGA JUAL]*Table242325678910111213141516201921222325[STOK]</f>
        <v>0</v>
      </c>
      <c r="N24" s="339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4500</v>
      </c>
      <c r="E25" s="140">
        <v>10000</v>
      </c>
      <c r="F25" s="141">
        <v>675</v>
      </c>
      <c r="G25" s="142">
        <v>35</v>
      </c>
      <c r="H25" s="141">
        <f>(Table242325678910111213141516201921222325[[#This Row],[STOK]]-Table242325678910111213141516201921222325[[#This Row],[TERJUAL]])</f>
        <v>640</v>
      </c>
      <c r="I25" s="143">
        <f>(Table242325678910111213141516201921222325[HARGA JUAL]*Table242325678910111213141516201921222325[TERJUAL])-(Table242325678910111213141516201921222325[HARGA POKOK]*Table242325678910111213141516201921222325[TERJUAL])</f>
        <v>192500</v>
      </c>
      <c r="J25" s="143">
        <f>(Table242325678910111213141516201921222325[HARGA JUAL]*Table242325678910111213141516201921222325[TERJUAL])</f>
        <v>350000</v>
      </c>
      <c r="K25" s="143">
        <f>Table242325678910111213141516201921222325[HARGA JUAL]*Table242325678910111213141516201921222325[SISA]</f>
        <v>6400000</v>
      </c>
      <c r="L25" s="144">
        <f>Table242325678910111213141516201921222325[HARGA POKOK]*Table242325678910111213141516201921222325[STOK]</f>
        <v>3037500</v>
      </c>
      <c r="M25" s="144">
        <f>Table242325678910111213141516201921222325[HARGA JUAL]*Table242325678910111213141516201921222325[STOK]</f>
        <v>6750000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63</v>
      </c>
      <c r="G26" s="142">
        <v>4</v>
      </c>
      <c r="H26" s="141">
        <f>(Table242325678910111213141516201921222325[[#This Row],[STOK]]-Table242325678910111213141516201921222325[[#This Row],[TERJUAL]])</f>
        <v>59</v>
      </c>
      <c r="I26" s="143">
        <f>(Table242325678910111213141516201921222325[HARGA JUAL]*Table242325678910111213141516201921222325[TERJUAL])-(Table242325678910111213141516201921222325[HARGA POKOK]*Table242325678910111213141516201921222325[TERJUAL])</f>
        <v>50000</v>
      </c>
      <c r="J26" s="143">
        <f>(Table242325678910111213141516201921222325[HARGA JUAL]*Table242325678910111213141516201921222325[TERJUAL])</f>
        <v>240000</v>
      </c>
      <c r="K26" s="143">
        <f>Table242325678910111213141516201921222325[HARGA JUAL]*Table242325678910111213141516201921222325[SISA]</f>
        <v>3540000</v>
      </c>
      <c r="L26" s="144">
        <f>Table242325678910111213141516201921222325[HARGA POKOK]*Table242325678910111213141516201921222325[STOK]</f>
        <v>2992500</v>
      </c>
      <c r="M26" s="144">
        <f>Table242325678910111213141516201921222325[HARGA JUAL]*Table242325678910111213141516201921222325[STOK]</f>
        <v>3780000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12</v>
      </c>
      <c r="G27" s="142">
        <v>1</v>
      </c>
      <c r="H27" s="141">
        <f>(Table242325678910111213141516201921222325[[#This Row],[STOK]]-Table242325678910111213141516201921222325[[#This Row],[TERJUAL]])</f>
        <v>11</v>
      </c>
      <c r="I27" s="143">
        <f>(Table242325678910111213141516201921222325[HARGA JUAL]*Table242325678910111213141516201921222325[TERJUAL])-(Table242325678910111213141516201921222325[HARGA POKOK]*Table242325678910111213141516201921222325[TERJUAL])</f>
        <v>28500</v>
      </c>
      <c r="J27" s="143">
        <f>(Table242325678910111213141516201921222325[HARGA JUAL]*Table242325678910111213141516201921222325[TERJUAL])</f>
        <v>143000</v>
      </c>
      <c r="K27" s="143">
        <f>Table242325678910111213141516201921222325[HARGA JUAL]*Table242325678910111213141516201921222325[SISA]</f>
        <v>1573000</v>
      </c>
      <c r="L27" s="144">
        <f>Table242325678910111213141516201921222325[HARGA POKOK]*Table242325678910111213141516201921222325[STOK]</f>
        <v>1374000</v>
      </c>
      <c r="M27" s="144">
        <f>Table242325678910111213141516201921222325[HARGA JUAL]*Table242325678910111213141516201921222325[STOK]</f>
        <v>1716000</v>
      </c>
      <c r="N27" s="145"/>
    </row>
    <row r="28" spans="1:14" x14ac:dyDescent="0.25">
      <c r="A28" s="137">
        <v>24</v>
      </c>
      <c r="B28" s="138" t="s">
        <v>29</v>
      </c>
      <c r="C28" s="138" t="s">
        <v>314</v>
      </c>
      <c r="D28" s="140">
        <v>102000</v>
      </c>
      <c r="E28" s="140">
        <v>130000</v>
      </c>
      <c r="F28" s="141">
        <v>20</v>
      </c>
      <c r="G28" s="142">
        <v>3</v>
      </c>
      <c r="H28" s="141">
        <f>(Table242325678910111213141516201921222325[[#This Row],[STOK]]-Table242325678910111213141516201921222325[[#This Row],[TERJUAL]])</f>
        <v>17</v>
      </c>
      <c r="I28" s="143">
        <f>(Table242325678910111213141516201921222325[HARGA JUAL]*Table242325678910111213141516201921222325[TERJUAL])-(Table242325678910111213141516201921222325[HARGA POKOK]*Table242325678910111213141516201921222325[TERJUAL])</f>
        <v>84000</v>
      </c>
      <c r="J28" s="143">
        <f>(Table242325678910111213141516201921222325[HARGA JUAL]*Table242325678910111213141516201921222325[TERJUAL])</f>
        <v>390000</v>
      </c>
      <c r="K28" s="143">
        <f>Table242325678910111213141516201921222325[HARGA JUAL]*Table242325678910111213141516201921222325[SISA]</f>
        <v>2210000</v>
      </c>
      <c r="L28" s="144">
        <f>Table242325678910111213141516201921222325[HARGA POKOK]*Table242325678910111213141516201921222325[STOK]</f>
        <v>2040000</v>
      </c>
      <c r="M28" s="144">
        <f>Table242325678910111213141516201921222325[HARGA JUAL]*Table242325678910111213141516201921222325[STOK]</f>
        <v>2600000</v>
      </c>
      <c r="N28" s="145"/>
    </row>
    <row r="29" spans="1:14" x14ac:dyDescent="0.25">
      <c r="A29" s="137">
        <v>25</v>
      </c>
      <c r="B29" s="138" t="s">
        <v>29</v>
      </c>
      <c r="C29" s="138" t="s">
        <v>293</v>
      </c>
      <c r="D29" s="140">
        <v>68500</v>
      </c>
      <c r="E29" s="140">
        <v>120000</v>
      </c>
      <c r="F29" s="141"/>
      <c r="G29" s="142"/>
      <c r="H29" s="141">
        <f>(Table242325678910111213141516201921222325[[#This Row],[STOK]]-Table242325678910111213141516201921222325[[#This Row],[TERJUAL]])</f>
        <v>0</v>
      </c>
      <c r="I29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29" s="143">
        <f>(Table242325678910111213141516201921222325[HARGA JUAL]*Table242325678910111213141516201921222325[TERJUAL])</f>
        <v>0</v>
      </c>
      <c r="K29" s="143">
        <f>Table242325678910111213141516201921222325[HARGA JUAL]*Table242325678910111213141516201921222325[SISA]</f>
        <v>0</v>
      </c>
      <c r="L29" s="144">
        <f>Table242325678910111213141516201921222325[HARGA POKOK]*Table242325678910111213141516201921222325[STOK]</f>
        <v>0</v>
      </c>
      <c r="M29" s="144">
        <f>Table242325678910111213141516201921222325[HARGA JUAL]*Table242325678910111213141516201921222325[STOK]</f>
        <v>0</v>
      </c>
      <c r="N29" s="145"/>
    </row>
    <row r="30" spans="1:14" x14ac:dyDescent="0.25">
      <c r="A30" s="137">
        <v>26</v>
      </c>
      <c r="B30" s="138" t="s">
        <v>29</v>
      </c>
      <c r="C30" s="138" t="s">
        <v>57</v>
      </c>
      <c r="D30" s="140">
        <v>165000</v>
      </c>
      <c r="E30" s="140">
        <v>50000</v>
      </c>
      <c r="F30" s="141">
        <v>0</v>
      </c>
      <c r="G30" s="142"/>
      <c r="H30" s="141">
        <f>(Table242325678910111213141516201921222325[[#This Row],[STOK]]-Table242325678910111213141516201921222325[[#This Row],[TERJUAL]])</f>
        <v>0</v>
      </c>
      <c r="I30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30" s="143">
        <f>(Table242325678910111213141516201921222325[HARGA JUAL]*Table242325678910111213141516201921222325[TERJUAL])</f>
        <v>0</v>
      </c>
      <c r="K30" s="143">
        <f>Table242325678910111213141516201921222325[HARGA JUAL]*Table242325678910111213141516201921222325[SISA]</f>
        <v>0</v>
      </c>
      <c r="L30" s="144">
        <f>Table242325678910111213141516201921222325[HARGA POKOK]*Table242325678910111213141516201921222325[STOK]</f>
        <v>0</v>
      </c>
      <c r="M30" s="144">
        <f>Table242325678910111213141516201921222325[HARGA JUAL]*Table242325678910111213141516201921222325[STOK]</f>
        <v>0</v>
      </c>
      <c r="N30" s="145"/>
    </row>
    <row r="31" spans="1:14" x14ac:dyDescent="0.25">
      <c r="A31" s="137">
        <v>27</v>
      </c>
      <c r="B31" s="138" t="s">
        <v>30</v>
      </c>
      <c r="C31" s="138" t="s">
        <v>315</v>
      </c>
      <c r="D31" s="140">
        <v>38500</v>
      </c>
      <c r="E31" s="140">
        <v>55000</v>
      </c>
      <c r="F31" s="141">
        <v>18</v>
      </c>
      <c r="G31" s="142">
        <v>7</v>
      </c>
      <c r="H31" s="141">
        <f>(Table242325678910111213141516201921222325[[#This Row],[STOK]]-Table242325678910111213141516201921222325[[#This Row],[TERJUAL]])</f>
        <v>11</v>
      </c>
      <c r="I31" s="143">
        <f>(Table242325678910111213141516201921222325[HARGA JUAL]*Table242325678910111213141516201921222325[TERJUAL])-(Table242325678910111213141516201921222325[HARGA POKOK]*Table242325678910111213141516201921222325[TERJUAL])</f>
        <v>115500</v>
      </c>
      <c r="J31" s="143">
        <f>(Table242325678910111213141516201921222325[HARGA JUAL]*Table242325678910111213141516201921222325[TERJUAL])</f>
        <v>385000</v>
      </c>
      <c r="K31" s="143">
        <f>Table242325678910111213141516201921222325[HARGA JUAL]*Table242325678910111213141516201921222325[SISA]</f>
        <v>605000</v>
      </c>
      <c r="L31" s="144">
        <f>Table242325678910111213141516201921222325[HARGA POKOK]*Table242325678910111213141516201921222325[STOK]</f>
        <v>693000</v>
      </c>
      <c r="M31" s="144">
        <f>Table242325678910111213141516201921222325[HARGA JUAL]*Table242325678910111213141516201921222325[STOK]</f>
        <v>990000</v>
      </c>
      <c r="N31" s="145"/>
    </row>
    <row r="32" spans="1:14" x14ac:dyDescent="0.25">
      <c r="A32" s="137">
        <v>28</v>
      </c>
      <c r="B32" s="138" t="s">
        <v>30</v>
      </c>
      <c r="C32" s="138" t="s">
        <v>294</v>
      </c>
      <c r="D32" s="140">
        <v>15000</v>
      </c>
      <c r="E32" s="140">
        <v>30000</v>
      </c>
      <c r="F32" s="141"/>
      <c r="G32" s="142"/>
      <c r="H32" s="141">
        <f>(Table242325678910111213141516201921222325[[#This Row],[STOK]]-Table242325678910111213141516201921222325[[#This Row],[TERJUAL]])</f>
        <v>0</v>
      </c>
      <c r="I32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32" s="143">
        <f>(Table242325678910111213141516201921222325[HARGA JUAL]*Table242325678910111213141516201921222325[TERJUAL])</f>
        <v>0</v>
      </c>
      <c r="K32" s="143">
        <f>Table242325678910111213141516201921222325[HARGA JUAL]*Table242325678910111213141516201921222325[SISA]</f>
        <v>0</v>
      </c>
      <c r="L32" s="144">
        <f>Table242325678910111213141516201921222325[HARGA POKOK]*Table242325678910111213141516201921222325[STOK]</f>
        <v>0</v>
      </c>
      <c r="M32" s="144">
        <f>Table242325678910111213141516201921222325[HARGA JUAL]*Table242325678910111213141516201921222325[STOK]</f>
        <v>0</v>
      </c>
      <c r="N32" s="145"/>
    </row>
    <row r="33" spans="1:14" x14ac:dyDescent="0.25">
      <c r="A33" s="137">
        <v>29</v>
      </c>
      <c r="B33" s="138" t="s">
        <v>30</v>
      </c>
      <c r="C33" s="138" t="s">
        <v>58</v>
      </c>
      <c r="D33" s="140">
        <v>11500</v>
      </c>
      <c r="E33" s="140">
        <v>20000</v>
      </c>
      <c r="F33" s="141">
        <v>16</v>
      </c>
      <c r="G33" s="142">
        <v>8</v>
      </c>
      <c r="H33" s="141">
        <f>(Table242325678910111213141516201921222325[[#This Row],[STOK]]-Table242325678910111213141516201921222325[[#This Row],[TERJUAL]])</f>
        <v>8</v>
      </c>
      <c r="I33" s="143">
        <f>(Table242325678910111213141516201921222325[HARGA JUAL]*Table242325678910111213141516201921222325[TERJUAL])-(Table242325678910111213141516201921222325[HARGA POKOK]*Table242325678910111213141516201921222325[TERJUAL])</f>
        <v>68000</v>
      </c>
      <c r="J33" s="143">
        <f>(Table242325678910111213141516201921222325[HARGA JUAL]*Table242325678910111213141516201921222325[TERJUAL])</f>
        <v>160000</v>
      </c>
      <c r="K33" s="143">
        <f>Table242325678910111213141516201921222325[HARGA JUAL]*Table242325678910111213141516201921222325[SISA]</f>
        <v>160000</v>
      </c>
      <c r="L33" s="144">
        <f>Table242325678910111213141516201921222325[HARGA POKOK]*Table242325678910111213141516201921222325[STOK]</f>
        <v>184000</v>
      </c>
      <c r="M33" s="144">
        <f>Table242325678910111213141516201921222325[HARGA JUAL]*Table242325678910111213141516201921222325[STOK]</f>
        <v>320000</v>
      </c>
      <c r="N33" s="145"/>
    </row>
    <row r="34" spans="1:14" x14ac:dyDescent="0.25">
      <c r="A34" s="137">
        <v>30</v>
      </c>
      <c r="B34" s="138" t="s">
        <v>30</v>
      </c>
      <c r="C34" s="138" t="s">
        <v>59</v>
      </c>
      <c r="D34" s="140">
        <v>27500</v>
      </c>
      <c r="E34" s="140">
        <v>45000</v>
      </c>
      <c r="F34" s="141">
        <v>2</v>
      </c>
      <c r="G34" s="142"/>
      <c r="H34" s="141">
        <f>(Table242325678910111213141516201921222325[[#This Row],[STOK]]-Table242325678910111213141516201921222325[[#This Row],[TERJUAL]])</f>
        <v>2</v>
      </c>
      <c r="I34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34" s="143">
        <f>(Table242325678910111213141516201921222325[HARGA JUAL]*Table242325678910111213141516201921222325[TERJUAL])</f>
        <v>0</v>
      </c>
      <c r="K34" s="143">
        <f>Table242325678910111213141516201921222325[HARGA JUAL]*Table242325678910111213141516201921222325[SISA]</f>
        <v>90000</v>
      </c>
      <c r="L34" s="144">
        <f>Table242325678910111213141516201921222325[HARGA POKOK]*Table242325678910111213141516201921222325[STOK]</f>
        <v>55000</v>
      </c>
      <c r="M34" s="144">
        <f>Table242325678910111213141516201921222325[HARGA JUAL]*Table242325678910111213141516201921222325[STOK]</f>
        <v>90000</v>
      </c>
      <c r="N34" s="145"/>
    </row>
    <row r="35" spans="1:14" x14ac:dyDescent="0.25">
      <c r="A35" s="137">
        <v>31</v>
      </c>
      <c r="B35" s="138" t="s">
        <v>30</v>
      </c>
      <c r="C35" s="138" t="s">
        <v>60</v>
      </c>
      <c r="D35" s="140">
        <v>12500</v>
      </c>
      <c r="E35" s="140">
        <v>16000</v>
      </c>
      <c r="F35" s="141"/>
      <c r="G35" s="142"/>
      <c r="H35" s="141">
        <f>(Table242325678910111213141516201921222325[[#This Row],[STOK]]-Table242325678910111213141516201921222325[[#This Row],[TERJUAL]])</f>
        <v>0</v>
      </c>
      <c r="I35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35" s="143">
        <f>(Table242325678910111213141516201921222325[HARGA JUAL]*Table242325678910111213141516201921222325[TERJUAL])</f>
        <v>0</v>
      </c>
      <c r="K35" s="143">
        <f>Table242325678910111213141516201921222325[HARGA JUAL]*Table242325678910111213141516201921222325[SISA]</f>
        <v>0</v>
      </c>
      <c r="L35" s="144">
        <f>Table242325678910111213141516201921222325[HARGA POKOK]*Table242325678910111213141516201921222325[STOK]</f>
        <v>0</v>
      </c>
      <c r="M35" s="144">
        <f>Table242325678910111213141516201921222325[HARGA JUAL]*Table242325678910111213141516201921222325[STOK]</f>
        <v>0</v>
      </c>
      <c r="N35" s="145"/>
    </row>
    <row r="36" spans="1:14" x14ac:dyDescent="0.25">
      <c r="A36" s="137">
        <v>32</v>
      </c>
      <c r="B36" s="138" t="s">
        <v>30</v>
      </c>
      <c r="C36" s="138" t="s">
        <v>13</v>
      </c>
      <c r="D36" s="140">
        <v>36000</v>
      </c>
      <c r="E36" s="140">
        <v>50000</v>
      </c>
      <c r="F36" s="141">
        <v>19</v>
      </c>
      <c r="G36" s="142">
        <v>6</v>
      </c>
      <c r="H36" s="141">
        <f>(Table242325678910111213141516201921222325[[#This Row],[STOK]]-Table242325678910111213141516201921222325[[#This Row],[TERJUAL]])</f>
        <v>13</v>
      </c>
      <c r="I36" s="143">
        <f>(Table242325678910111213141516201921222325[HARGA JUAL]*Table242325678910111213141516201921222325[TERJUAL])-(Table242325678910111213141516201921222325[HARGA POKOK]*Table242325678910111213141516201921222325[TERJUAL])</f>
        <v>84000</v>
      </c>
      <c r="J36" s="143">
        <f>(Table242325678910111213141516201921222325[HARGA JUAL]*Table242325678910111213141516201921222325[TERJUAL])</f>
        <v>300000</v>
      </c>
      <c r="K36" s="143">
        <f>Table242325678910111213141516201921222325[HARGA JUAL]*Table242325678910111213141516201921222325[SISA]</f>
        <v>650000</v>
      </c>
      <c r="L36" s="144">
        <f>Table242325678910111213141516201921222325[HARGA POKOK]*Table242325678910111213141516201921222325[STOK]</f>
        <v>684000</v>
      </c>
      <c r="M36" s="144">
        <f>Table242325678910111213141516201921222325[HARGA JUAL]*Table242325678910111213141516201921222325[STOK]</f>
        <v>950000</v>
      </c>
      <c r="N36" s="145"/>
    </row>
    <row r="37" spans="1:14" x14ac:dyDescent="0.25">
      <c r="A37" s="137">
        <v>33</v>
      </c>
      <c r="B37" s="138" t="s">
        <v>30</v>
      </c>
      <c r="C37" s="193" t="s">
        <v>14</v>
      </c>
      <c r="D37" s="140">
        <v>8500</v>
      </c>
      <c r="E37" s="140">
        <v>12000</v>
      </c>
      <c r="F37" s="141">
        <v>28</v>
      </c>
      <c r="G37" s="142">
        <v>28</v>
      </c>
      <c r="H37" s="141">
        <f>(Table242325678910111213141516201921222325[[#This Row],[STOK]]-Table242325678910111213141516201921222325[[#This Row],[TERJUAL]])</f>
        <v>0</v>
      </c>
      <c r="I37" s="143">
        <f>(Table242325678910111213141516201921222325[HARGA JUAL]*Table242325678910111213141516201921222325[TERJUAL])-(Table242325678910111213141516201921222325[HARGA POKOK]*Table242325678910111213141516201921222325[TERJUAL])</f>
        <v>98000</v>
      </c>
      <c r="J37" s="143">
        <f>(Table242325678910111213141516201921222325[HARGA JUAL]*Table242325678910111213141516201921222325[TERJUAL])</f>
        <v>336000</v>
      </c>
      <c r="K37" s="143">
        <f>Table242325678910111213141516201921222325[HARGA JUAL]*Table242325678910111213141516201921222325[SISA]</f>
        <v>0</v>
      </c>
      <c r="L37" s="144">
        <f>Table242325678910111213141516201921222325[HARGA POKOK]*Table242325678910111213141516201921222325[STOK]</f>
        <v>238000</v>
      </c>
      <c r="M37" s="144">
        <f>Table242325678910111213141516201921222325[HARGA JUAL]*Table242325678910111213141516201921222325[STOK]</f>
        <v>336000</v>
      </c>
      <c r="N37" s="145"/>
    </row>
    <row r="38" spans="1:14" x14ac:dyDescent="0.25">
      <c r="A38" s="137">
        <v>34</v>
      </c>
      <c r="B38" s="138" t="s">
        <v>30</v>
      </c>
      <c r="C38" s="138" t="s">
        <v>15</v>
      </c>
      <c r="D38" s="140">
        <v>33000</v>
      </c>
      <c r="E38" s="140">
        <v>45000</v>
      </c>
      <c r="F38" s="141">
        <v>22</v>
      </c>
      <c r="G38" s="142">
        <v>5</v>
      </c>
      <c r="H38" s="141">
        <f>(Table242325678910111213141516201921222325[[#This Row],[STOK]]-Table242325678910111213141516201921222325[[#This Row],[TERJUAL]])</f>
        <v>17</v>
      </c>
      <c r="I38" s="143">
        <f>(Table242325678910111213141516201921222325[HARGA JUAL]*Table242325678910111213141516201921222325[TERJUAL])-(Table242325678910111213141516201921222325[HARGA POKOK]*Table242325678910111213141516201921222325[TERJUAL])</f>
        <v>60000</v>
      </c>
      <c r="J38" s="143">
        <f>(Table242325678910111213141516201921222325[HARGA JUAL]*Table242325678910111213141516201921222325[TERJUAL])</f>
        <v>225000</v>
      </c>
      <c r="K38" s="143">
        <f>Table242325678910111213141516201921222325[HARGA JUAL]*Table242325678910111213141516201921222325[SISA]</f>
        <v>765000</v>
      </c>
      <c r="L38" s="144">
        <f>Table242325678910111213141516201921222325[HARGA POKOK]*Table242325678910111213141516201921222325[STOK]</f>
        <v>726000</v>
      </c>
      <c r="M38" s="144">
        <f>Table242325678910111213141516201921222325[HARGA JUAL]*Table242325678910111213141516201921222325[STOK]</f>
        <v>990000</v>
      </c>
      <c r="N38" s="145"/>
    </row>
    <row r="39" spans="1:14" x14ac:dyDescent="0.25">
      <c r="A39" s="137">
        <v>35</v>
      </c>
      <c r="B39" s="138" t="s">
        <v>30</v>
      </c>
      <c r="C39" s="138" t="s">
        <v>16</v>
      </c>
      <c r="D39" s="140">
        <v>7500</v>
      </c>
      <c r="E39" s="140">
        <v>10000</v>
      </c>
      <c r="F39" s="141">
        <v>60</v>
      </c>
      <c r="G39" s="142">
        <v>60</v>
      </c>
      <c r="H39" s="141">
        <f>(Table242325678910111213141516201921222325[[#This Row],[STOK]]-Table242325678910111213141516201921222325[[#This Row],[TERJUAL]])</f>
        <v>0</v>
      </c>
      <c r="I39" s="143">
        <f>(Table242325678910111213141516201921222325[HARGA JUAL]*Table242325678910111213141516201921222325[TERJUAL])-(Table242325678910111213141516201921222325[HARGA POKOK]*Table242325678910111213141516201921222325[TERJUAL])</f>
        <v>150000</v>
      </c>
      <c r="J39" s="143">
        <f>(Table242325678910111213141516201921222325[HARGA JUAL]*Table242325678910111213141516201921222325[TERJUAL])</f>
        <v>600000</v>
      </c>
      <c r="K39" s="143">
        <f>Table242325678910111213141516201921222325[HARGA JUAL]*Table242325678910111213141516201921222325[SISA]</f>
        <v>0</v>
      </c>
      <c r="L39" s="144">
        <f>Table242325678910111213141516201921222325[HARGA POKOK]*Table242325678910111213141516201921222325[STOK]</f>
        <v>450000</v>
      </c>
      <c r="M39" s="144">
        <f>Table242325678910111213141516201921222325[HARGA JUAL]*Table242325678910111213141516201921222325[STOK]</f>
        <v>600000</v>
      </c>
      <c r="N39" s="145"/>
    </row>
    <row r="40" spans="1:14" x14ac:dyDescent="0.25">
      <c r="A40" s="137">
        <v>36</v>
      </c>
      <c r="B40" s="138" t="s">
        <v>35</v>
      </c>
      <c r="C40" s="138" t="s">
        <v>36</v>
      </c>
      <c r="D40" s="140">
        <v>51500</v>
      </c>
      <c r="E40" s="140">
        <v>65000</v>
      </c>
      <c r="F40" s="141">
        <v>3</v>
      </c>
      <c r="G40" s="142">
        <v>2</v>
      </c>
      <c r="H40" s="141">
        <f>(Table242325678910111213141516201921222325[[#This Row],[STOK]]-Table242325678910111213141516201921222325[[#This Row],[TERJUAL]])</f>
        <v>1</v>
      </c>
      <c r="I40" s="143">
        <f>(Table242325678910111213141516201921222325[HARGA JUAL]*Table242325678910111213141516201921222325[TERJUAL])-(Table242325678910111213141516201921222325[HARGA POKOK]*Table242325678910111213141516201921222325[TERJUAL])</f>
        <v>27000</v>
      </c>
      <c r="J40" s="143">
        <f>(Table242325678910111213141516201921222325[HARGA JUAL]*Table242325678910111213141516201921222325[TERJUAL])</f>
        <v>130000</v>
      </c>
      <c r="K40" s="143">
        <f>Table242325678910111213141516201921222325[HARGA JUAL]*Table242325678910111213141516201921222325[SISA]</f>
        <v>65000</v>
      </c>
      <c r="L40" s="144">
        <f>Table242325678910111213141516201921222325[HARGA POKOK]*Table242325678910111213141516201921222325[STOK]</f>
        <v>154500</v>
      </c>
      <c r="M40" s="144">
        <f>Table242325678910111213141516201921222325[HARGA JUAL]*Table242325678910111213141516201921222325[STOK]</f>
        <v>195000</v>
      </c>
      <c r="N40" s="145"/>
    </row>
    <row r="41" spans="1:14" x14ac:dyDescent="0.25">
      <c r="A41" s="137">
        <v>37</v>
      </c>
      <c r="B41" s="138" t="s">
        <v>35</v>
      </c>
      <c r="C41" s="138" t="s">
        <v>175</v>
      </c>
      <c r="D41" s="140">
        <v>27500</v>
      </c>
      <c r="E41" s="140">
        <v>40000</v>
      </c>
      <c r="F41" s="141">
        <v>58</v>
      </c>
      <c r="G41" s="142">
        <v>4</v>
      </c>
      <c r="H41" s="141">
        <f>(Table242325678910111213141516201921222325[[#This Row],[STOK]]-Table242325678910111213141516201921222325[[#This Row],[TERJUAL]])</f>
        <v>54</v>
      </c>
      <c r="I41" s="143">
        <f>(Table242325678910111213141516201921222325[HARGA JUAL]*Table242325678910111213141516201921222325[TERJUAL])-(Table242325678910111213141516201921222325[HARGA POKOK]*Table242325678910111213141516201921222325[TERJUAL])</f>
        <v>50000</v>
      </c>
      <c r="J41" s="143">
        <f>(Table242325678910111213141516201921222325[HARGA JUAL]*Table242325678910111213141516201921222325[TERJUAL])</f>
        <v>160000</v>
      </c>
      <c r="K41" s="143">
        <f>Table242325678910111213141516201921222325[HARGA JUAL]*Table242325678910111213141516201921222325[SISA]</f>
        <v>2160000</v>
      </c>
      <c r="L41" s="144">
        <f>Table242325678910111213141516201921222325[HARGA POKOK]*Table242325678910111213141516201921222325[STOK]</f>
        <v>1595000</v>
      </c>
      <c r="M41" s="144">
        <f>Table242325678910111213141516201921222325[HARGA JUAL]*Table242325678910111213141516201921222325[STOK]</f>
        <v>2320000</v>
      </c>
      <c r="N41" s="145"/>
    </row>
    <row r="42" spans="1:14" x14ac:dyDescent="0.25">
      <c r="A42" s="137">
        <v>38</v>
      </c>
      <c r="B42" s="138" t="s">
        <v>31</v>
      </c>
      <c r="C42" s="138" t="s">
        <v>359</v>
      </c>
      <c r="D42" s="140">
        <v>16000</v>
      </c>
      <c r="E42" s="140">
        <v>22000</v>
      </c>
      <c r="F42" s="141">
        <v>7</v>
      </c>
      <c r="G42" s="142">
        <v>5</v>
      </c>
      <c r="H42" s="141">
        <f>(Table242325678910111213141516201921222325[[#This Row],[STOK]]-Table242325678910111213141516201921222325[[#This Row],[TERJUAL]])</f>
        <v>2</v>
      </c>
      <c r="I42" s="143">
        <f>(Table242325678910111213141516201921222325[HARGA JUAL]*Table242325678910111213141516201921222325[TERJUAL])-(Table242325678910111213141516201921222325[HARGA POKOK]*Table242325678910111213141516201921222325[TERJUAL])</f>
        <v>30000</v>
      </c>
      <c r="J42" s="143">
        <f>(Table242325678910111213141516201921222325[HARGA JUAL]*Table242325678910111213141516201921222325[TERJUAL])</f>
        <v>110000</v>
      </c>
      <c r="K42" s="143">
        <f>Table242325678910111213141516201921222325[HARGA JUAL]*Table242325678910111213141516201921222325[SISA]</f>
        <v>44000</v>
      </c>
      <c r="L42" s="144">
        <f>Table242325678910111213141516201921222325[HARGA POKOK]*Table242325678910111213141516201921222325[STOK]</f>
        <v>112000</v>
      </c>
      <c r="M42" s="144">
        <f>Table242325678910111213141516201921222325[HARGA JUAL]*Table242325678910111213141516201921222325[STOK]</f>
        <v>154000</v>
      </c>
      <c r="N42" s="145"/>
    </row>
    <row r="43" spans="1:14" x14ac:dyDescent="0.25">
      <c r="A43" s="137">
        <v>39</v>
      </c>
      <c r="B43" s="138" t="s">
        <v>31</v>
      </c>
      <c r="C43" s="138" t="s">
        <v>180</v>
      </c>
      <c r="D43" s="140">
        <v>21500</v>
      </c>
      <c r="E43" s="140">
        <v>35000</v>
      </c>
      <c r="F43" s="141">
        <v>51</v>
      </c>
      <c r="G43" s="142">
        <v>1</v>
      </c>
      <c r="H43" s="141">
        <f>(Table242325678910111213141516201921222325[[#This Row],[STOK]]-Table242325678910111213141516201921222325[[#This Row],[TERJUAL]])</f>
        <v>50</v>
      </c>
      <c r="I43" s="143">
        <f>(Table242325678910111213141516201921222325[HARGA JUAL]*Table242325678910111213141516201921222325[TERJUAL])-(Table242325678910111213141516201921222325[HARGA POKOK]*Table242325678910111213141516201921222325[TERJUAL])</f>
        <v>13500</v>
      </c>
      <c r="J43" s="143">
        <f>(Table242325678910111213141516201921222325[HARGA JUAL]*Table242325678910111213141516201921222325[TERJUAL])</f>
        <v>35000</v>
      </c>
      <c r="K43" s="143">
        <f>Table242325678910111213141516201921222325[HARGA JUAL]*Table242325678910111213141516201921222325[SISA]</f>
        <v>1750000</v>
      </c>
      <c r="L43" s="144">
        <f>Table242325678910111213141516201921222325[HARGA POKOK]*Table242325678910111213141516201921222325[STOK]</f>
        <v>1096500</v>
      </c>
      <c r="M43" s="144">
        <f>Table242325678910111213141516201921222325[HARGA JUAL]*Table242325678910111213141516201921222325[STOK]</f>
        <v>1785000</v>
      </c>
      <c r="N43" s="145"/>
    </row>
    <row r="44" spans="1:14" x14ac:dyDescent="0.25">
      <c r="A44" s="137">
        <v>40</v>
      </c>
      <c r="B44" s="138" t="s">
        <v>31</v>
      </c>
      <c r="C44" s="138" t="s">
        <v>62</v>
      </c>
      <c r="D44" s="140">
        <v>25000</v>
      </c>
      <c r="E44" s="140">
        <v>15000</v>
      </c>
      <c r="F44" s="141"/>
      <c r="G44" s="142"/>
      <c r="H44" s="141">
        <f>(Table242325678910111213141516201921222325[[#This Row],[STOK]]-Table242325678910111213141516201921222325[[#This Row],[TERJUAL]])</f>
        <v>0</v>
      </c>
      <c r="I44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44" s="143">
        <f>(Table242325678910111213141516201921222325[HARGA JUAL]*Table242325678910111213141516201921222325[TERJUAL])</f>
        <v>0</v>
      </c>
      <c r="K44" s="143">
        <f>Table242325678910111213141516201921222325[HARGA JUAL]*Table242325678910111213141516201921222325[SISA]</f>
        <v>0</v>
      </c>
      <c r="L44" s="144">
        <f>Table242325678910111213141516201921222325[HARGA POKOK]*Table242325678910111213141516201921222325[STOK]</f>
        <v>0</v>
      </c>
      <c r="M44" s="144">
        <f>Table242325678910111213141516201921222325[HARGA JUAL]*Table242325678910111213141516201921222325[STOK]</f>
        <v>0</v>
      </c>
      <c r="N44" s="145"/>
    </row>
    <row r="45" spans="1:14" x14ac:dyDescent="0.25">
      <c r="A45" s="137">
        <v>41</v>
      </c>
      <c r="B45" s="138" t="s">
        <v>31</v>
      </c>
      <c r="C45" s="138" t="s">
        <v>181</v>
      </c>
      <c r="D45" s="140">
        <v>34500</v>
      </c>
      <c r="E45" s="140">
        <v>35000</v>
      </c>
      <c r="F45" s="141">
        <v>101</v>
      </c>
      <c r="G45" s="142">
        <v>2</v>
      </c>
      <c r="H45" s="141">
        <f>(Table242325678910111213141516201921222325[[#This Row],[STOK]]-Table242325678910111213141516201921222325[[#This Row],[TERJUAL]])</f>
        <v>99</v>
      </c>
      <c r="I45" s="143">
        <f>(Table242325678910111213141516201921222325[HARGA JUAL]*Table242325678910111213141516201921222325[TERJUAL])-(Table242325678910111213141516201921222325[HARGA POKOK]*Table242325678910111213141516201921222325[TERJUAL])</f>
        <v>1000</v>
      </c>
      <c r="J45" s="143">
        <f>(Table242325678910111213141516201921222325[HARGA JUAL]*Table242325678910111213141516201921222325[TERJUAL])</f>
        <v>70000</v>
      </c>
      <c r="K45" s="143">
        <f>Table242325678910111213141516201921222325[HARGA JUAL]*Table242325678910111213141516201921222325[SISA]</f>
        <v>3465000</v>
      </c>
      <c r="L45" s="144">
        <f>Table242325678910111213141516201921222325[HARGA POKOK]*Table242325678910111213141516201921222325[STOK]</f>
        <v>3484500</v>
      </c>
      <c r="M45" s="144">
        <f>Table242325678910111213141516201921222325[HARGA JUAL]*Table242325678910111213141516201921222325[STOK]</f>
        <v>3535000</v>
      </c>
      <c r="N45" s="145"/>
    </row>
    <row r="46" spans="1:14" x14ac:dyDescent="0.25">
      <c r="A46" s="137">
        <v>42</v>
      </c>
      <c r="B46" s="138" t="s">
        <v>31</v>
      </c>
      <c r="C46" s="138" t="s">
        <v>64</v>
      </c>
      <c r="D46" s="140">
        <v>24000</v>
      </c>
      <c r="E46" s="140">
        <v>40000</v>
      </c>
      <c r="F46" s="141"/>
      <c r="G46" s="142"/>
      <c r="H46" s="141">
        <f>(Table242325678910111213141516201921222325[[#This Row],[STOK]]-Table242325678910111213141516201921222325[[#This Row],[TERJUAL]])</f>
        <v>0</v>
      </c>
      <c r="I46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46" s="143">
        <f>(Table242325678910111213141516201921222325[HARGA JUAL]*Table242325678910111213141516201921222325[TERJUAL])</f>
        <v>0</v>
      </c>
      <c r="K46" s="143">
        <f>Table242325678910111213141516201921222325[HARGA JUAL]*Table242325678910111213141516201921222325[SISA]</f>
        <v>0</v>
      </c>
      <c r="L46" s="144">
        <f>Table242325678910111213141516201921222325[HARGA POKOK]*Table242325678910111213141516201921222325[STOK]</f>
        <v>0</v>
      </c>
      <c r="M46" s="144">
        <f>Table242325678910111213141516201921222325[HARGA JUAL]*Table242325678910111213141516201921222325[STOK]</f>
        <v>0</v>
      </c>
      <c r="N46" s="145"/>
    </row>
    <row r="47" spans="1:14" x14ac:dyDescent="0.25">
      <c r="A47" s="137">
        <v>43</v>
      </c>
      <c r="B47" s="138" t="s">
        <v>31</v>
      </c>
      <c r="C47" s="138" t="s">
        <v>322</v>
      </c>
      <c r="D47" s="140">
        <v>30000</v>
      </c>
      <c r="E47" s="140">
        <v>40000</v>
      </c>
      <c r="F47" s="141"/>
      <c r="G47" s="142"/>
      <c r="H47" s="141">
        <f>(Table242325678910111213141516201921222325[[#This Row],[STOK]]-Table242325678910111213141516201921222325[[#This Row],[TERJUAL]])</f>
        <v>0</v>
      </c>
      <c r="I47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47" s="143">
        <f>(Table242325678910111213141516201921222325[HARGA JUAL]*Table242325678910111213141516201921222325[TERJUAL])</f>
        <v>0</v>
      </c>
      <c r="K47" s="143">
        <f>Table242325678910111213141516201921222325[HARGA JUAL]*Table242325678910111213141516201921222325[SISA]</f>
        <v>0</v>
      </c>
      <c r="L47" s="144">
        <f>Table242325678910111213141516201921222325[HARGA POKOK]*Table242325678910111213141516201921222325[STOK]</f>
        <v>0</v>
      </c>
      <c r="M47" s="144">
        <f>Table242325678910111213141516201921222325[HARGA JUAL]*Table242325678910111213141516201921222325[STOK]</f>
        <v>0</v>
      </c>
      <c r="N47" s="145"/>
    </row>
    <row r="48" spans="1:14" x14ac:dyDescent="0.25">
      <c r="A48" s="137">
        <v>44</v>
      </c>
      <c r="B48" s="138" t="s">
        <v>31</v>
      </c>
      <c r="C48" s="138" t="s">
        <v>319</v>
      </c>
      <c r="D48" s="140">
        <v>63000</v>
      </c>
      <c r="E48" s="140">
        <v>75000</v>
      </c>
      <c r="F48" s="141">
        <v>2</v>
      </c>
      <c r="G48" s="142">
        <v>1</v>
      </c>
      <c r="H48" s="141">
        <f>(Table242325678910111213141516201921222325[[#This Row],[STOK]]-Table242325678910111213141516201921222325[[#This Row],[TERJUAL]])</f>
        <v>1</v>
      </c>
      <c r="I48" s="143">
        <f>(Table242325678910111213141516201921222325[HARGA JUAL]*Table242325678910111213141516201921222325[TERJUAL])-(Table242325678910111213141516201921222325[HARGA POKOK]*Table242325678910111213141516201921222325[TERJUAL])</f>
        <v>12000</v>
      </c>
      <c r="J48" s="143">
        <f>(Table242325678910111213141516201921222325[HARGA JUAL]*Table242325678910111213141516201921222325[TERJUAL])</f>
        <v>75000</v>
      </c>
      <c r="K48" s="143">
        <f>Table242325678910111213141516201921222325[HARGA JUAL]*Table242325678910111213141516201921222325[SISA]</f>
        <v>75000</v>
      </c>
      <c r="L48" s="144">
        <f>Table242325678910111213141516201921222325[HARGA POKOK]*Table242325678910111213141516201921222325[STOK]</f>
        <v>126000</v>
      </c>
      <c r="M48" s="144">
        <f>Table242325678910111213141516201921222325[HARGA JUAL]*Table242325678910111213141516201921222325[STOK]</f>
        <v>150000</v>
      </c>
      <c r="N48" s="145"/>
    </row>
    <row r="49" spans="1:14" x14ac:dyDescent="0.25">
      <c r="A49" s="137">
        <v>45</v>
      </c>
      <c r="B49" s="138" t="s">
        <v>31</v>
      </c>
      <c r="C49" s="138" t="s">
        <v>343</v>
      </c>
      <c r="D49" s="140">
        <v>30000</v>
      </c>
      <c r="E49" s="140">
        <v>35000</v>
      </c>
      <c r="F49" s="141">
        <v>2</v>
      </c>
      <c r="G49" s="142">
        <v>1</v>
      </c>
      <c r="H49" s="141">
        <f>(Table242325678910111213141516201921222325[[#This Row],[STOK]]-Table242325678910111213141516201921222325[[#This Row],[TERJUAL]])</f>
        <v>1</v>
      </c>
      <c r="I49" s="143">
        <f>(Table242325678910111213141516201921222325[HARGA JUAL]*Table242325678910111213141516201921222325[TERJUAL])-(Table242325678910111213141516201921222325[HARGA POKOK]*Table242325678910111213141516201921222325[TERJUAL])</f>
        <v>5000</v>
      </c>
      <c r="J49" s="143">
        <f>(Table242325678910111213141516201921222325[HARGA JUAL]*Table242325678910111213141516201921222325[TERJUAL])</f>
        <v>35000</v>
      </c>
      <c r="K49" s="143">
        <f>Table242325678910111213141516201921222325[HARGA JUAL]*Table242325678910111213141516201921222325[SISA]</f>
        <v>35000</v>
      </c>
      <c r="L49" s="144">
        <f>Table242325678910111213141516201921222325[HARGA POKOK]*Table242325678910111213141516201921222325[STOK]</f>
        <v>60000</v>
      </c>
      <c r="M49" s="144">
        <f>Table242325678910111213141516201921222325[HARGA JUAL]*Table242325678910111213141516201921222325[STOK]</f>
        <v>70000</v>
      </c>
      <c r="N49" s="145"/>
    </row>
    <row r="50" spans="1:14" x14ac:dyDescent="0.25">
      <c r="A50" s="137">
        <v>46</v>
      </c>
      <c r="B50" s="138" t="s">
        <v>31</v>
      </c>
      <c r="C50" s="138" t="s">
        <v>67</v>
      </c>
      <c r="D50" s="140">
        <v>41000</v>
      </c>
      <c r="E50" s="140">
        <v>45000</v>
      </c>
      <c r="F50" s="141">
        <v>9</v>
      </c>
      <c r="G50" s="142">
        <v>9</v>
      </c>
      <c r="H50" s="141">
        <f>(Table242325678910111213141516201921222325[[#This Row],[STOK]]-Table242325678910111213141516201921222325[[#This Row],[TERJUAL]])</f>
        <v>0</v>
      </c>
      <c r="I50" s="143">
        <f>(Table242325678910111213141516201921222325[HARGA JUAL]*Table242325678910111213141516201921222325[TERJUAL])-(Table242325678910111213141516201921222325[HARGA POKOK]*Table242325678910111213141516201921222325[TERJUAL])</f>
        <v>36000</v>
      </c>
      <c r="J50" s="143">
        <f>(Table242325678910111213141516201921222325[HARGA JUAL]*Table242325678910111213141516201921222325[TERJUAL])</f>
        <v>405000</v>
      </c>
      <c r="K50" s="143">
        <f>Table242325678910111213141516201921222325[HARGA JUAL]*Table242325678910111213141516201921222325[SISA]</f>
        <v>0</v>
      </c>
      <c r="L50" s="144">
        <f>Table242325678910111213141516201921222325[HARGA POKOK]*Table242325678910111213141516201921222325[STOK]</f>
        <v>369000</v>
      </c>
      <c r="M50" s="144">
        <f>Table242325678910111213141516201921222325[HARGA JUAL]*Table242325678910111213141516201921222325[STOK]</f>
        <v>405000</v>
      </c>
      <c r="N50" s="145"/>
    </row>
    <row r="51" spans="1:14" x14ac:dyDescent="0.25">
      <c r="A51" s="137">
        <v>47</v>
      </c>
      <c r="B51" s="138" t="s">
        <v>31</v>
      </c>
      <c r="C51" s="138" t="s">
        <v>309</v>
      </c>
      <c r="D51" s="140">
        <v>30000</v>
      </c>
      <c r="E51" s="140">
        <v>45000</v>
      </c>
      <c r="F51" s="141">
        <v>10</v>
      </c>
      <c r="G51" s="142">
        <v>1</v>
      </c>
      <c r="H51" s="141">
        <f>(Table242325678910111213141516201921222325[[#This Row],[STOK]]-Table242325678910111213141516201921222325[[#This Row],[TERJUAL]])</f>
        <v>9</v>
      </c>
      <c r="I51" s="143">
        <f>(Table242325678910111213141516201921222325[HARGA JUAL]*Table242325678910111213141516201921222325[TERJUAL])-(Table242325678910111213141516201921222325[HARGA POKOK]*Table242325678910111213141516201921222325[TERJUAL])</f>
        <v>15000</v>
      </c>
      <c r="J51" s="143">
        <f>(Table242325678910111213141516201921222325[HARGA JUAL]*Table242325678910111213141516201921222325[TERJUAL])</f>
        <v>45000</v>
      </c>
      <c r="K51" s="143">
        <f>Table242325678910111213141516201921222325[HARGA JUAL]*Table242325678910111213141516201921222325[SISA]</f>
        <v>405000</v>
      </c>
      <c r="L51" s="144">
        <f>Table242325678910111213141516201921222325[HARGA POKOK]*Table242325678910111213141516201921222325[STOK]</f>
        <v>300000</v>
      </c>
      <c r="M51" s="144">
        <f>Table242325678910111213141516201921222325[HARGA JUAL]*Table242325678910111213141516201921222325[STOK]</f>
        <v>450000</v>
      </c>
      <c r="N51" s="145"/>
    </row>
    <row r="52" spans="1:14" x14ac:dyDescent="0.25">
      <c r="A52" s="137">
        <v>48</v>
      </c>
      <c r="B52" s="138" t="s">
        <v>31</v>
      </c>
      <c r="C52" s="138" t="s">
        <v>324</v>
      </c>
      <c r="D52" s="140">
        <v>190000</v>
      </c>
      <c r="E52" s="140">
        <v>200000</v>
      </c>
      <c r="F52" s="141">
        <v>9</v>
      </c>
      <c r="G52" s="142">
        <v>3</v>
      </c>
      <c r="H52" s="141">
        <f>(Table242325678910111213141516201921222325[[#This Row],[STOK]]-Table242325678910111213141516201921222325[[#This Row],[TERJUAL]])</f>
        <v>6</v>
      </c>
      <c r="I52" s="143">
        <f>(Table242325678910111213141516201921222325[HARGA JUAL]*Table242325678910111213141516201921222325[TERJUAL])-(Table242325678910111213141516201921222325[HARGA POKOK]*Table242325678910111213141516201921222325[TERJUAL])</f>
        <v>30000</v>
      </c>
      <c r="J52" s="143">
        <f>(Table242325678910111213141516201921222325[HARGA JUAL]*Table242325678910111213141516201921222325[TERJUAL])</f>
        <v>600000</v>
      </c>
      <c r="K52" s="143">
        <f>Table242325678910111213141516201921222325[HARGA JUAL]*Table242325678910111213141516201921222325[SISA]</f>
        <v>1200000</v>
      </c>
      <c r="L52" s="144">
        <f>Table242325678910111213141516201921222325[HARGA POKOK]*Table242325678910111213141516201921222325[STOK]</f>
        <v>1710000</v>
      </c>
      <c r="M52" s="144">
        <f>Table242325678910111213141516201921222325[HARGA JUAL]*Table242325678910111213141516201921222325[STOK]</f>
        <v>1800000</v>
      </c>
      <c r="N52" s="145"/>
    </row>
    <row r="53" spans="1:14" x14ac:dyDescent="0.25">
      <c r="A53" s="137">
        <v>49</v>
      </c>
      <c r="B53" s="138" t="s">
        <v>31</v>
      </c>
      <c r="C53" s="138" t="s">
        <v>139</v>
      </c>
      <c r="D53" s="140">
        <v>16000</v>
      </c>
      <c r="E53" s="140">
        <v>25000</v>
      </c>
      <c r="F53" s="141"/>
      <c r="G53" s="142"/>
      <c r="H53" s="141">
        <f>(Table242325678910111213141516201921222325[[#This Row],[STOK]]-Table242325678910111213141516201921222325[[#This Row],[TERJUAL]])</f>
        <v>0</v>
      </c>
      <c r="I53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53" s="143">
        <f>(Table242325678910111213141516201921222325[HARGA JUAL]*Table242325678910111213141516201921222325[TERJUAL])</f>
        <v>0</v>
      </c>
      <c r="K53" s="143">
        <f>Table242325678910111213141516201921222325[HARGA JUAL]*Table242325678910111213141516201921222325[SISA]</f>
        <v>0</v>
      </c>
      <c r="L53" s="144">
        <f>Table242325678910111213141516201921222325[HARGA POKOK]*Table242325678910111213141516201921222325[STOK]</f>
        <v>0</v>
      </c>
      <c r="M53" s="144">
        <f>Table242325678910111213141516201921222325[HARGA JUAL]*Table242325678910111213141516201921222325[STOK]</f>
        <v>0</v>
      </c>
      <c r="N53" s="145"/>
    </row>
    <row r="54" spans="1:14" x14ac:dyDescent="0.25">
      <c r="A54" s="137">
        <v>50</v>
      </c>
      <c r="B54" s="138" t="s">
        <v>31</v>
      </c>
      <c r="C54" s="138" t="s">
        <v>320</v>
      </c>
      <c r="D54" s="140">
        <v>34000</v>
      </c>
      <c r="E54" s="140">
        <v>40000</v>
      </c>
      <c r="F54" s="141">
        <v>47</v>
      </c>
      <c r="G54" s="142">
        <v>26</v>
      </c>
      <c r="H54" s="141">
        <f>(Table242325678910111213141516201921222325[[#This Row],[STOK]]-Table242325678910111213141516201921222325[[#This Row],[TERJUAL]])</f>
        <v>21</v>
      </c>
      <c r="I54" s="143">
        <f>(Table242325678910111213141516201921222325[HARGA JUAL]*Table242325678910111213141516201921222325[TERJUAL])-(Table242325678910111213141516201921222325[HARGA POKOK]*Table242325678910111213141516201921222325[TERJUAL])</f>
        <v>156000</v>
      </c>
      <c r="J54" s="143">
        <f>(Table242325678910111213141516201921222325[HARGA JUAL]*Table242325678910111213141516201921222325[TERJUAL])</f>
        <v>1040000</v>
      </c>
      <c r="K54" s="143">
        <f>Table242325678910111213141516201921222325[HARGA JUAL]*Table242325678910111213141516201921222325[SISA]</f>
        <v>840000</v>
      </c>
      <c r="L54" s="144">
        <f>Table242325678910111213141516201921222325[HARGA POKOK]*Table242325678910111213141516201921222325[STOK]</f>
        <v>1598000</v>
      </c>
      <c r="M54" s="144">
        <f>Table242325678910111213141516201921222325[HARGA JUAL]*Table242325678910111213141516201921222325[STOK]</f>
        <v>1880000</v>
      </c>
      <c r="N54" s="145"/>
    </row>
    <row r="55" spans="1:14" x14ac:dyDescent="0.25">
      <c r="A55" s="137">
        <v>51</v>
      </c>
      <c r="B55" s="138" t="s">
        <v>31</v>
      </c>
      <c r="C55" s="138" t="s">
        <v>141</v>
      </c>
      <c r="D55" s="140">
        <v>18000</v>
      </c>
      <c r="E55" s="140">
        <v>30000</v>
      </c>
      <c r="F55" s="141">
        <v>20</v>
      </c>
      <c r="G55" s="142">
        <v>1</v>
      </c>
      <c r="H55" s="141">
        <f>(Table242325678910111213141516201921222325[[#This Row],[STOK]]-Table242325678910111213141516201921222325[[#This Row],[TERJUAL]])</f>
        <v>19</v>
      </c>
      <c r="I55" s="143">
        <f>(Table242325678910111213141516201921222325[HARGA JUAL]*Table242325678910111213141516201921222325[TERJUAL])-(Table242325678910111213141516201921222325[HARGA POKOK]*Table242325678910111213141516201921222325[TERJUAL])</f>
        <v>12000</v>
      </c>
      <c r="J55" s="143">
        <f>(Table242325678910111213141516201921222325[HARGA JUAL]*Table242325678910111213141516201921222325[TERJUAL])</f>
        <v>30000</v>
      </c>
      <c r="K55" s="143">
        <f>Table242325678910111213141516201921222325[HARGA JUAL]*Table242325678910111213141516201921222325[SISA]</f>
        <v>570000</v>
      </c>
      <c r="L55" s="144">
        <f>Table242325678910111213141516201921222325[HARGA POKOK]*Table242325678910111213141516201921222325[STOK]</f>
        <v>360000</v>
      </c>
      <c r="M55" s="144">
        <f>Table242325678910111213141516201921222325[HARGA JUAL]*Table242325678910111213141516201921222325[STOK]</f>
        <v>600000</v>
      </c>
      <c r="N55" s="145"/>
    </row>
    <row r="56" spans="1:14" x14ac:dyDescent="0.25">
      <c r="A56" s="137">
        <v>52</v>
      </c>
      <c r="B56" s="138" t="s">
        <v>31</v>
      </c>
      <c r="C56" s="193" t="s">
        <v>184</v>
      </c>
      <c r="D56" s="140">
        <v>12500</v>
      </c>
      <c r="E56" s="140">
        <v>30000</v>
      </c>
      <c r="F56" s="141">
        <v>67</v>
      </c>
      <c r="G56" s="142">
        <v>3</v>
      </c>
      <c r="H56" s="141">
        <f>(Table242325678910111213141516201921222325[[#This Row],[STOK]]-Table242325678910111213141516201921222325[[#This Row],[TERJUAL]])</f>
        <v>64</v>
      </c>
      <c r="I56" s="143">
        <f>(Table242325678910111213141516201921222325[HARGA JUAL]*Table242325678910111213141516201921222325[TERJUAL])-(Table242325678910111213141516201921222325[HARGA POKOK]*Table242325678910111213141516201921222325[TERJUAL])</f>
        <v>52500</v>
      </c>
      <c r="J56" s="143">
        <f>(Table242325678910111213141516201921222325[HARGA JUAL]*Table242325678910111213141516201921222325[TERJUAL])</f>
        <v>90000</v>
      </c>
      <c r="K56" s="143">
        <f>Table242325678910111213141516201921222325[HARGA JUAL]*Table242325678910111213141516201921222325[SISA]</f>
        <v>1920000</v>
      </c>
      <c r="L56" s="144">
        <f>Table242325678910111213141516201921222325[HARGA POKOK]*Table242325678910111213141516201921222325[STOK]</f>
        <v>837500</v>
      </c>
      <c r="M56" s="144">
        <f>Table242325678910111213141516201921222325[HARGA JUAL]*Table242325678910111213141516201921222325[STOK]</f>
        <v>2010000</v>
      </c>
      <c r="N56" s="145"/>
    </row>
    <row r="57" spans="1:14" x14ac:dyDescent="0.25">
      <c r="A57" s="137">
        <v>53</v>
      </c>
      <c r="B57" s="284" t="s">
        <v>31</v>
      </c>
      <c r="C57" s="284" t="s">
        <v>185</v>
      </c>
      <c r="D57" s="285">
        <v>28500</v>
      </c>
      <c r="E57" s="285">
        <v>10000</v>
      </c>
      <c r="F57" s="286">
        <v>9</v>
      </c>
      <c r="G57" s="287"/>
      <c r="H57" s="286">
        <f>(Table242325678910111213141516201921222325[[#This Row],[STOK]]-Table242325678910111213141516201921222325[[#This Row],[TERJUAL]])</f>
        <v>9</v>
      </c>
      <c r="I57" s="288">
        <f>(Table242325678910111213141516201921222325[HARGA JUAL]*Table242325678910111213141516201921222325[TERJUAL])-(Table242325678910111213141516201921222325[HARGA POKOK]*Table242325678910111213141516201921222325[TERJUAL])</f>
        <v>0</v>
      </c>
      <c r="J57" s="288">
        <f>(Table242325678910111213141516201921222325[HARGA JUAL]*Table242325678910111213141516201921222325[TERJUAL])</f>
        <v>0</v>
      </c>
      <c r="K57" s="288">
        <f>Table242325678910111213141516201921222325[HARGA JUAL]*Table242325678910111213141516201921222325[SISA]</f>
        <v>90000</v>
      </c>
      <c r="L57" s="289">
        <f>Table242325678910111213141516201921222325[HARGA POKOK]*Table242325678910111213141516201921222325[STOK]</f>
        <v>256500</v>
      </c>
      <c r="M57" s="289">
        <f>Table242325678910111213141516201921222325[HARGA JUAL]*Table242325678910111213141516201921222325[STOK]</f>
        <v>90000</v>
      </c>
      <c r="N57" s="290" t="s">
        <v>179</v>
      </c>
    </row>
    <row r="58" spans="1:14" x14ac:dyDescent="0.25">
      <c r="A58" s="137">
        <v>54</v>
      </c>
      <c r="B58" s="138" t="s">
        <v>31</v>
      </c>
      <c r="C58" s="138" t="s">
        <v>186</v>
      </c>
      <c r="D58" s="140">
        <v>48500</v>
      </c>
      <c r="E58" s="140">
        <v>65000</v>
      </c>
      <c r="F58" s="141"/>
      <c r="G58" s="142"/>
      <c r="H58" s="141">
        <f>(Table242325678910111213141516201921222325[[#This Row],[STOK]]-Table242325678910111213141516201921222325[[#This Row],[TERJUAL]])</f>
        <v>0</v>
      </c>
      <c r="I58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58" s="143">
        <f>(Table242325678910111213141516201921222325[HARGA JUAL]*Table242325678910111213141516201921222325[TERJUAL])</f>
        <v>0</v>
      </c>
      <c r="K58" s="143">
        <f>Table242325678910111213141516201921222325[HARGA JUAL]*Table242325678910111213141516201921222325[SISA]</f>
        <v>0</v>
      </c>
      <c r="L58" s="144">
        <f>Table242325678910111213141516201921222325[HARGA POKOK]*Table242325678910111213141516201921222325[STOK]</f>
        <v>0</v>
      </c>
      <c r="M58" s="144">
        <f>Table242325678910111213141516201921222325[HARGA JUAL]*Table242325678910111213141516201921222325[STOK]</f>
        <v>0</v>
      </c>
      <c r="N58" s="145"/>
    </row>
    <row r="59" spans="1:14" x14ac:dyDescent="0.25">
      <c r="A59" s="137">
        <v>55</v>
      </c>
      <c r="B59" s="138" t="s">
        <v>31</v>
      </c>
      <c r="C59" s="138" t="s">
        <v>187</v>
      </c>
      <c r="D59" s="140">
        <v>47000</v>
      </c>
      <c r="E59" s="140">
        <v>65000</v>
      </c>
      <c r="F59" s="141">
        <v>46</v>
      </c>
      <c r="G59" s="142">
        <v>9</v>
      </c>
      <c r="H59" s="141">
        <f>(Table242325678910111213141516201921222325[[#This Row],[STOK]]-Table242325678910111213141516201921222325[[#This Row],[TERJUAL]])</f>
        <v>37</v>
      </c>
      <c r="I59" s="143">
        <f>(Table242325678910111213141516201921222325[HARGA JUAL]*Table242325678910111213141516201921222325[TERJUAL])-(Table242325678910111213141516201921222325[HARGA POKOK]*Table242325678910111213141516201921222325[TERJUAL])</f>
        <v>162000</v>
      </c>
      <c r="J59" s="143">
        <f>(Table242325678910111213141516201921222325[HARGA JUAL]*Table242325678910111213141516201921222325[TERJUAL])</f>
        <v>585000</v>
      </c>
      <c r="K59" s="143">
        <f>Table242325678910111213141516201921222325[HARGA JUAL]*Table242325678910111213141516201921222325[SISA]</f>
        <v>2405000</v>
      </c>
      <c r="L59" s="144">
        <f>Table242325678910111213141516201921222325[HARGA POKOK]*Table242325678910111213141516201921222325[STOK]</f>
        <v>2162000</v>
      </c>
      <c r="M59" s="144">
        <f>Table242325678910111213141516201921222325[HARGA JUAL]*Table242325678910111213141516201921222325[STOK]</f>
        <v>2990000</v>
      </c>
      <c r="N59" s="145"/>
    </row>
    <row r="60" spans="1:14" x14ac:dyDescent="0.25">
      <c r="A60" s="137">
        <v>56</v>
      </c>
      <c r="B60" s="138" t="s">
        <v>32</v>
      </c>
      <c r="C60" s="193" t="s">
        <v>18</v>
      </c>
      <c r="D60" s="140">
        <v>1700</v>
      </c>
      <c r="E60" s="140">
        <v>5000</v>
      </c>
      <c r="F60" s="141">
        <v>30</v>
      </c>
      <c r="G60" s="142"/>
      <c r="H60" s="141">
        <f>(Table242325678910111213141516201921222325[[#This Row],[STOK]]-Table242325678910111213141516201921222325[[#This Row],[TERJUAL]])</f>
        <v>30</v>
      </c>
      <c r="I60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60" s="143">
        <f>(Table242325678910111213141516201921222325[HARGA JUAL]*Table242325678910111213141516201921222325[TERJUAL])</f>
        <v>0</v>
      </c>
      <c r="K60" s="143">
        <f>Table242325678910111213141516201921222325[HARGA JUAL]*Table242325678910111213141516201921222325[SISA]</f>
        <v>150000</v>
      </c>
      <c r="L60" s="144">
        <f>Table242325678910111213141516201921222325[HARGA POKOK]*Table242325678910111213141516201921222325[STOK]</f>
        <v>51000</v>
      </c>
      <c r="M60" s="144">
        <f>Table242325678910111213141516201921222325[HARGA JUAL]*Table242325678910111213141516201921222325[STOK]</f>
        <v>150000</v>
      </c>
      <c r="N60" s="145"/>
    </row>
    <row r="61" spans="1:14" x14ac:dyDescent="0.25">
      <c r="A61" s="137">
        <v>57</v>
      </c>
      <c r="B61" s="138" t="s">
        <v>32</v>
      </c>
      <c r="C61" s="138" t="s">
        <v>21</v>
      </c>
      <c r="D61" s="140">
        <v>30000</v>
      </c>
      <c r="E61" s="140">
        <v>45000</v>
      </c>
      <c r="F61" s="141"/>
      <c r="G61" s="142"/>
      <c r="H61" s="141">
        <f>(Table242325678910111213141516201921222325[[#This Row],[STOK]]-Table242325678910111213141516201921222325[[#This Row],[TERJUAL]])</f>
        <v>0</v>
      </c>
      <c r="I61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61" s="143">
        <f>(Table242325678910111213141516201921222325[HARGA JUAL]*Table242325678910111213141516201921222325[TERJUAL])</f>
        <v>0</v>
      </c>
      <c r="K61" s="143">
        <f>Table242325678910111213141516201921222325[HARGA JUAL]*Table242325678910111213141516201921222325[SISA]</f>
        <v>0</v>
      </c>
      <c r="L61" s="144">
        <f>Table242325678910111213141516201921222325[HARGA POKOK]*Table242325678910111213141516201921222325[STOK]</f>
        <v>0</v>
      </c>
      <c r="M61" s="144">
        <f>Table242325678910111213141516201921222325[HARGA JUAL]*Table242325678910111213141516201921222325[STOK]</f>
        <v>0</v>
      </c>
      <c r="N61" s="145"/>
    </row>
    <row r="62" spans="1:14" x14ac:dyDescent="0.25">
      <c r="A62" s="137">
        <v>58</v>
      </c>
      <c r="B62" s="138" t="s">
        <v>32</v>
      </c>
      <c r="C62" s="138" t="s">
        <v>20</v>
      </c>
      <c r="D62" s="140">
        <v>1500</v>
      </c>
      <c r="E62" s="140">
        <v>5000</v>
      </c>
      <c r="F62" s="141">
        <v>47</v>
      </c>
      <c r="G62" s="142">
        <v>4</v>
      </c>
      <c r="H62" s="141">
        <f>(Table242325678910111213141516201921222325[[#This Row],[STOK]]-Table242325678910111213141516201921222325[[#This Row],[TERJUAL]])</f>
        <v>43</v>
      </c>
      <c r="I62" s="143">
        <f>(Table242325678910111213141516201921222325[HARGA JUAL]*Table242325678910111213141516201921222325[TERJUAL])-(Table242325678910111213141516201921222325[HARGA POKOK]*Table242325678910111213141516201921222325[TERJUAL])</f>
        <v>14000</v>
      </c>
      <c r="J62" s="143">
        <f>(Table242325678910111213141516201921222325[HARGA JUAL]*Table242325678910111213141516201921222325[TERJUAL])</f>
        <v>20000</v>
      </c>
      <c r="K62" s="143">
        <f>Table242325678910111213141516201921222325[HARGA JUAL]*Table242325678910111213141516201921222325[SISA]</f>
        <v>215000</v>
      </c>
      <c r="L62" s="144">
        <f>Table242325678910111213141516201921222325[HARGA POKOK]*Table242325678910111213141516201921222325[STOK]</f>
        <v>70500</v>
      </c>
      <c r="M62" s="144">
        <f>Table242325678910111213141516201921222325[HARGA JUAL]*Table242325678910111213141516201921222325[STOK]</f>
        <v>235000</v>
      </c>
      <c r="N62" s="145"/>
    </row>
    <row r="63" spans="1:14" x14ac:dyDescent="0.25">
      <c r="A63" s="137">
        <v>59</v>
      </c>
      <c r="B63" s="138" t="s">
        <v>32</v>
      </c>
      <c r="C63" s="138" t="s">
        <v>23</v>
      </c>
      <c r="D63" s="140">
        <v>30000</v>
      </c>
      <c r="E63" s="140">
        <v>40000</v>
      </c>
      <c r="F63" s="141">
        <v>8</v>
      </c>
      <c r="G63" s="142"/>
      <c r="H63" s="141">
        <f>(Table242325678910111213141516201921222325[[#This Row],[STOK]]-Table242325678910111213141516201921222325[[#This Row],[TERJUAL]])</f>
        <v>8</v>
      </c>
      <c r="I63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63" s="143">
        <f>(Table242325678910111213141516201921222325[HARGA JUAL]*Table242325678910111213141516201921222325[TERJUAL])</f>
        <v>0</v>
      </c>
      <c r="K63" s="143">
        <f>Table242325678910111213141516201921222325[HARGA JUAL]*Table242325678910111213141516201921222325[SISA]</f>
        <v>320000</v>
      </c>
      <c r="L63" s="144">
        <f>Table242325678910111213141516201921222325[HARGA POKOK]*Table242325678910111213141516201921222325[STOK]</f>
        <v>240000</v>
      </c>
      <c r="M63" s="144">
        <f>Table242325678910111213141516201921222325[HARGA JUAL]*Table242325678910111213141516201921222325[STOK]</f>
        <v>320000</v>
      </c>
      <c r="N63" s="145"/>
    </row>
    <row r="64" spans="1:14" x14ac:dyDescent="0.25">
      <c r="A64" s="137">
        <v>60</v>
      </c>
      <c r="B64" s="138" t="s">
        <v>32</v>
      </c>
      <c r="C64" s="138" t="s">
        <v>19</v>
      </c>
      <c r="D64" s="140">
        <v>1600</v>
      </c>
      <c r="E64" s="140">
        <v>5000</v>
      </c>
      <c r="F64" s="141">
        <v>161</v>
      </c>
      <c r="G64" s="142">
        <v>21</v>
      </c>
      <c r="H64" s="141">
        <f>(Table242325678910111213141516201921222325[[#This Row],[STOK]]-Table242325678910111213141516201921222325[[#This Row],[TERJUAL]])</f>
        <v>140</v>
      </c>
      <c r="I64" s="143">
        <f>(Table242325678910111213141516201921222325[HARGA JUAL]*Table242325678910111213141516201921222325[TERJUAL])-(Table242325678910111213141516201921222325[HARGA POKOK]*Table242325678910111213141516201921222325[TERJUAL])</f>
        <v>71400</v>
      </c>
      <c r="J64" s="143">
        <f>(Table242325678910111213141516201921222325[HARGA JUAL]*Table242325678910111213141516201921222325[TERJUAL])</f>
        <v>105000</v>
      </c>
      <c r="K64" s="143">
        <f>Table242325678910111213141516201921222325[HARGA JUAL]*Table242325678910111213141516201921222325[SISA]</f>
        <v>700000</v>
      </c>
      <c r="L64" s="144">
        <f>Table242325678910111213141516201921222325[HARGA POKOK]*Table242325678910111213141516201921222325[STOK]</f>
        <v>257600</v>
      </c>
      <c r="M64" s="144">
        <f>Table242325678910111213141516201921222325[HARGA JUAL]*Table242325678910111213141516201921222325[STOK]</f>
        <v>805000</v>
      </c>
      <c r="N64" s="145"/>
    </row>
    <row r="65" spans="1:14" x14ac:dyDescent="0.25">
      <c r="A65" s="137">
        <v>61</v>
      </c>
      <c r="B65" s="138" t="s">
        <v>32</v>
      </c>
      <c r="C65" s="138" t="s">
        <v>22</v>
      </c>
      <c r="D65" s="140">
        <v>30000</v>
      </c>
      <c r="E65" s="140">
        <v>40000</v>
      </c>
      <c r="F65" s="141"/>
      <c r="G65" s="142"/>
      <c r="H65" s="141">
        <f>(Table242325678910111213141516201921222325[[#This Row],[STOK]]-Table242325678910111213141516201921222325[[#This Row],[TERJUAL]])</f>
        <v>0</v>
      </c>
      <c r="I65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65" s="143">
        <f>(Table242325678910111213141516201921222325[HARGA JUAL]*Table242325678910111213141516201921222325[TERJUAL])</f>
        <v>0</v>
      </c>
      <c r="K65" s="143">
        <f>Table242325678910111213141516201921222325[HARGA JUAL]*Table242325678910111213141516201921222325[SISA]</f>
        <v>0</v>
      </c>
      <c r="L65" s="144">
        <f>Table242325678910111213141516201921222325[HARGA POKOK]*Table242325678910111213141516201921222325[STOK]</f>
        <v>0</v>
      </c>
      <c r="M65" s="144">
        <f>Table242325678910111213141516201921222325[HARGA JUAL]*Table242325678910111213141516201921222325[STOK]</f>
        <v>0</v>
      </c>
      <c r="N65" s="145"/>
    </row>
    <row r="66" spans="1:14" x14ac:dyDescent="0.25">
      <c r="A66" s="137">
        <v>62</v>
      </c>
      <c r="B66" s="138" t="s">
        <v>32</v>
      </c>
      <c r="C66" s="138" t="s">
        <v>349</v>
      </c>
      <c r="D66" s="140">
        <v>2500</v>
      </c>
      <c r="E66" s="140">
        <v>5000</v>
      </c>
      <c r="F66" s="141">
        <v>30</v>
      </c>
      <c r="G66" s="142">
        <v>2</v>
      </c>
      <c r="H66" s="141">
        <f>(Table242325678910111213141516201921222325[[#This Row],[STOK]]-Table242325678910111213141516201921222325[[#This Row],[TERJUAL]])</f>
        <v>28</v>
      </c>
      <c r="I66" s="143">
        <f>(Table242325678910111213141516201921222325[HARGA JUAL]*Table242325678910111213141516201921222325[TERJUAL])-(Table242325678910111213141516201921222325[HARGA POKOK]*Table242325678910111213141516201921222325[TERJUAL])</f>
        <v>5000</v>
      </c>
      <c r="J66" s="143">
        <f>(Table242325678910111213141516201921222325[HARGA JUAL]*Table242325678910111213141516201921222325[TERJUAL])</f>
        <v>10000</v>
      </c>
      <c r="K66" s="143">
        <f>Table242325678910111213141516201921222325[HARGA JUAL]*Table242325678910111213141516201921222325[SISA]</f>
        <v>140000</v>
      </c>
      <c r="L66" s="144">
        <f>Table242325678910111213141516201921222325[HARGA POKOK]*Table242325678910111213141516201921222325[STOK]</f>
        <v>75000</v>
      </c>
      <c r="M66" s="144">
        <f>Table242325678910111213141516201921222325[HARGA JUAL]*Table242325678910111213141516201921222325[STOK]</f>
        <v>150000</v>
      </c>
      <c r="N66" s="145"/>
    </row>
    <row r="67" spans="1:14" x14ac:dyDescent="0.25">
      <c r="A67" s="137">
        <v>63</v>
      </c>
      <c r="B67" s="138" t="s">
        <v>32</v>
      </c>
      <c r="C67" s="138" t="s">
        <v>24</v>
      </c>
      <c r="D67" s="140">
        <v>17500</v>
      </c>
      <c r="E67" s="140">
        <v>40000</v>
      </c>
      <c r="F67" s="141">
        <v>0</v>
      </c>
      <c r="G67" s="142"/>
      <c r="H67" s="141">
        <f>(Table242325678910111213141516201921222325[[#This Row],[STOK]]-Table242325678910111213141516201921222325[[#This Row],[TERJUAL]])</f>
        <v>0</v>
      </c>
      <c r="I67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67" s="143">
        <f>(Table242325678910111213141516201921222325[HARGA JUAL]*Table242325678910111213141516201921222325[TERJUAL])</f>
        <v>0</v>
      </c>
      <c r="K67" s="143">
        <f>Table242325678910111213141516201921222325[HARGA JUAL]*Table242325678910111213141516201921222325[SISA]</f>
        <v>0</v>
      </c>
      <c r="L67" s="144">
        <f>Table242325678910111213141516201921222325[HARGA POKOK]*Table242325678910111213141516201921222325[STOK]</f>
        <v>0</v>
      </c>
      <c r="M67" s="144">
        <f>Table242325678910111213141516201921222325[HARGA JUAL]*Table242325678910111213141516201921222325[STOK]</f>
        <v>0</v>
      </c>
      <c r="N67" s="145"/>
    </row>
    <row r="68" spans="1:14" x14ac:dyDescent="0.25">
      <c r="A68" s="137">
        <v>64</v>
      </c>
      <c r="B68" s="138" t="s">
        <v>144</v>
      </c>
      <c r="C68" s="138" t="s">
        <v>145</v>
      </c>
      <c r="D68" s="140">
        <v>3000</v>
      </c>
      <c r="E68" s="140">
        <v>6000</v>
      </c>
      <c r="F68" s="141">
        <v>32</v>
      </c>
      <c r="G68" s="142">
        <v>6</v>
      </c>
      <c r="H68" s="141">
        <f>(Table242325678910111213141516201921222325[[#This Row],[STOK]]-Table242325678910111213141516201921222325[[#This Row],[TERJUAL]])</f>
        <v>26</v>
      </c>
      <c r="I68" s="143">
        <f>(Table242325678910111213141516201921222325[HARGA JUAL]*Table242325678910111213141516201921222325[TERJUAL])-(Table242325678910111213141516201921222325[HARGA POKOK]*Table242325678910111213141516201921222325[TERJUAL])</f>
        <v>18000</v>
      </c>
      <c r="J68" s="143">
        <f>(Table242325678910111213141516201921222325[HARGA JUAL]*Table242325678910111213141516201921222325[TERJUAL])</f>
        <v>36000</v>
      </c>
      <c r="K68" s="143">
        <f>Table242325678910111213141516201921222325[HARGA JUAL]*Table242325678910111213141516201921222325[SISA]</f>
        <v>156000</v>
      </c>
      <c r="L68" s="144">
        <f>Table242325678910111213141516201921222325[HARGA POKOK]*Table242325678910111213141516201921222325[STOK]</f>
        <v>96000</v>
      </c>
      <c r="M68" s="144">
        <f>Table242325678910111213141516201921222325[HARGA JUAL]*Table242325678910111213141516201921222325[STOK]</f>
        <v>192000</v>
      </c>
      <c r="N68" s="145"/>
    </row>
    <row r="69" spans="1:14" x14ac:dyDescent="0.25">
      <c r="A69" s="137">
        <v>65</v>
      </c>
      <c r="B69" s="292" t="s">
        <v>290</v>
      </c>
      <c r="C69" s="292" t="s">
        <v>188</v>
      </c>
      <c r="D69" s="293">
        <v>400000</v>
      </c>
      <c r="E69" s="293">
        <v>485000</v>
      </c>
      <c r="F69" s="312">
        <v>105</v>
      </c>
      <c r="G69" s="295">
        <v>41</v>
      </c>
      <c r="H69" s="294">
        <f>(Table242325678910111213141516201921222325[[#This Row],[STOK]]-Table242325678910111213141516201921222325[[#This Row],[TERJUAL]])</f>
        <v>64</v>
      </c>
      <c r="I69" s="296">
        <f>(Table242325678910111213141516201921222325[HARGA JUAL]*Table242325678910111213141516201921222325[TERJUAL])-(Table242325678910111213141516201921222325[HARGA POKOK]*Table242325678910111213141516201921222325[TERJUAL])</f>
        <v>3485000</v>
      </c>
      <c r="J69" s="296">
        <f>(Table242325678910111213141516201921222325[HARGA JUAL]*Table242325678910111213141516201921222325[TERJUAL])</f>
        <v>19885000</v>
      </c>
      <c r="K69" s="296">
        <f>Table242325678910111213141516201921222325[HARGA JUAL]*Table242325678910111213141516201921222325[SISA]</f>
        <v>31040000</v>
      </c>
      <c r="L69" s="297">
        <f>Table242325678910111213141516201921222325[HARGA POKOK]*Table242325678910111213141516201921222325[STOK]</f>
        <v>42000000</v>
      </c>
      <c r="M69" s="297">
        <f>Table242325678910111213141516201921222325[HARGA JUAL]*Table242325678910111213141516201921222325[STOK]</f>
        <v>50925000</v>
      </c>
      <c r="N69" s="298"/>
    </row>
    <row r="70" spans="1:14" x14ac:dyDescent="0.25">
      <c r="A70" s="137">
        <v>66</v>
      </c>
      <c r="B70" s="138" t="s">
        <v>33</v>
      </c>
      <c r="C70" s="138" t="s">
        <v>189</v>
      </c>
      <c r="D70" s="140">
        <v>452000</v>
      </c>
      <c r="E70" s="140">
        <v>560000</v>
      </c>
      <c r="F70" s="141">
        <v>0</v>
      </c>
      <c r="G70" s="142"/>
      <c r="H70" s="141">
        <f>(Table242325678910111213141516201921222325[[#This Row],[STOK]]-Table242325678910111213141516201921222325[[#This Row],[TERJUAL]])</f>
        <v>0</v>
      </c>
      <c r="I70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70" s="143">
        <f>(Table242325678910111213141516201921222325[HARGA JUAL]*Table242325678910111213141516201921222325[TERJUAL])</f>
        <v>0</v>
      </c>
      <c r="K70" s="143">
        <f>Table242325678910111213141516201921222325[HARGA JUAL]*Table242325678910111213141516201921222325[SISA]</f>
        <v>0</v>
      </c>
      <c r="L70" s="144">
        <f>Table242325678910111213141516201921222325[HARGA POKOK]*Table242325678910111213141516201921222325[STOK]</f>
        <v>0</v>
      </c>
      <c r="M70" s="144">
        <f>Table242325678910111213141516201921222325[HARGA JUAL]*Table242325678910111213141516201921222325[STOK]</f>
        <v>0</v>
      </c>
      <c r="N70" s="145"/>
    </row>
    <row r="71" spans="1:14" x14ac:dyDescent="0.25">
      <c r="A71" s="137">
        <v>67</v>
      </c>
      <c r="B71" s="138" t="s">
        <v>192</v>
      </c>
      <c r="C71" s="138" t="s">
        <v>142</v>
      </c>
      <c r="D71" s="140">
        <v>310000</v>
      </c>
      <c r="E71" s="140">
        <v>495000</v>
      </c>
      <c r="F71" s="141">
        <v>4</v>
      </c>
      <c r="G71" s="142"/>
      <c r="H71" s="141">
        <f>(Table242325678910111213141516201921222325[[#This Row],[STOK]]-Table242325678910111213141516201921222325[[#This Row],[TERJUAL]])</f>
        <v>4</v>
      </c>
      <c r="I71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71" s="143">
        <f>(Table242325678910111213141516201921222325[HARGA JUAL]*Table242325678910111213141516201921222325[TERJUAL])</f>
        <v>0</v>
      </c>
      <c r="K71" s="143">
        <f>Table242325678910111213141516201921222325[HARGA JUAL]*Table242325678910111213141516201921222325[SISA]</f>
        <v>1980000</v>
      </c>
      <c r="L71" s="144">
        <f>Table242325678910111213141516201921222325[HARGA POKOK]*Table242325678910111213141516201921222325[STOK]</f>
        <v>1240000</v>
      </c>
      <c r="M71" s="144">
        <f>Table242325678910111213141516201921222325[HARGA JUAL]*Table242325678910111213141516201921222325[STOK]</f>
        <v>1980000</v>
      </c>
      <c r="N71" s="145"/>
    </row>
    <row r="72" spans="1:14" x14ac:dyDescent="0.25">
      <c r="A72" s="137">
        <v>68</v>
      </c>
      <c r="B72" s="138" t="s">
        <v>192</v>
      </c>
      <c r="C72" s="138" t="s">
        <v>269</v>
      </c>
      <c r="D72" s="140">
        <v>417000</v>
      </c>
      <c r="E72" s="140">
        <v>470000</v>
      </c>
      <c r="F72" s="141">
        <v>1</v>
      </c>
      <c r="G72" s="142"/>
      <c r="H72" s="141">
        <f>(Table242325678910111213141516201921222325[[#This Row],[STOK]]-Table242325678910111213141516201921222325[[#This Row],[TERJUAL]])</f>
        <v>1</v>
      </c>
      <c r="I72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72" s="143">
        <f>(Table242325678910111213141516201921222325[HARGA JUAL]*Table242325678910111213141516201921222325[TERJUAL])</f>
        <v>0</v>
      </c>
      <c r="K72" s="143">
        <f>Table242325678910111213141516201921222325[HARGA JUAL]*Table242325678910111213141516201921222325[SISA]</f>
        <v>470000</v>
      </c>
      <c r="L72" s="144">
        <f>Table242325678910111213141516201921222325[HARGA POKOK]*Table242325678910111213141516201921222325[STOK]</f>
        <v>417000</v>
      </c>
      <c r="M72" s="144">
        <f>Table242325678910111213141516201921222325[HARGA JUAL]*Table242325678910111213141516201921222325[STOK]</f>
        <v>470000</v>
      </c>
      <c r="N72" s="145"/>
    </row>
    <row r="73" spans="1:14" x14ac:dyDescent="0.25">
      <c r="A73" s="137">
        <v>69</v>
      </c>
      <c r="B73" s="138" t="s">
        <v>193</v>
      </c>
      <c r="C73" s="138" t="s">
        <v>191</v>
      </c>
      <c r="D73" s="140">
        <v>9700</v>
      </c>
      <c r="E73" s="140">
        <v>16000</v>
      </c>
      <c r="F73" s="141"/>
      <c r="G73" s="142"/>
      <c r="H73" s="141">
        <f>(Table242325678910111213141516201921222325[[#This Row],[STOK]]-Table242325678910111213141516201921222325[[#This Row],[TERJUAL]])</f>
        <v>0</v>
      </c>
      <c r="I73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73" s="143">
        <f>(Table242325678910111213141516201921222325[HARGA JUAL]*Table242325678910111213141516201921222325[TERJUAL])</f>
        <v>0</v>
      </c>
      <c r="K73" s="143">
        <f>Table242325678910111213141516201921222325[HARGA JUAL]*Table242325678910111213141516201921222325[SISA]</f>
        <v>0</v>
      </c>
      <c r="L73" s="144">
        <f>Table242325678910111213141516201921222325[HARGA POKOK]*Table242325678910111213141516201921222325[STOK]</f>
        <v>0</v>
      </c>
      <c r="M73" s="144">
        <f>Table242325678910111213141516201921222325[HARGA JUAL]*Table242325678910111213141516201921222325[STOK]</f>
        <v>0</v>
      </c>
      <c r="N73" s="145"/>
    </row>
    <row r="74" spans="1:14" x14ac:dyDescent="0.25">
      <c r="A74" s="137">
        <v>70</v>
      </c>
      <c r="B74" s="138" t="s">
        <v>193</v>
      </c>
      <c r="C74" s="138" t="s">
        <v>214</v>
      </c>
      <c r="D74" s="140">
        <v>9500</v>
      </c>
      <c r="E74" s="140">
        <v>16000</v>
      </c>
      <c r="F74" s="141">
        <v>8</v>
      </c>
      <c r="G74" s="142">
        <v>6</v>
      </c>
      <c r="H74" s="141">
        <f>(Table242325678910111213141516201921222325[[#This Row],[STOK]]-Table242325678910111213141516201921222325[[#This Row],[TERJUAL]])</f>
        <v>2</v>
      </c>
      <c r="I74" s="143">
        <f>(Table242325678910111213141516201921222325[HARGA JUAL]*Table242325678910111213141516201921222325[TERJUAL])-(Table242325678910111213141516201921222325[HARGA POKOK]*Table242325678910111213141516201921222325[TERJUAL])</f>
        <v>39000</v>
      </c>
      <c r="J74" s="143">
        <f>(Table242325678910111213141516201921222325[HARGA JUAL]*Table242325678910111213141516201921222325[TERJUAL])</f>
        <v>96000</v>
      </c>
      <c r="K74" s="143">
        <f>Table242325678910111213141516201921222325[HARGA JUAL]*Table242325678910111213141516201921222325[SISA]</f>
        <v>32000</v>
      </c>
      <c r="L74" s="144">
        <f>Table242325678910111213141516201921222325[HARGA POKOK]*Table242325678910111213141516201921222325[STOK]</f>
        <v>76000</v>
      </c>
      <c r="M74" s="144">
        <f>Table242325678910111213141516201921222325[HARGA JUAL]*Table242325678910111213141516201921222325[STOK]</f>
        <v>128000</v>
      </c>
      <c r="N74" s="145" t="s">
        <v>292</v>
      </c>
    </row>
    <row r="75" spans="1:14" x14ac:dyDescent="0.25">
      <c r="A75" s="137">
        <v>71</v>
      </c>
      <c r="B75" s="138" t="s">
        <v>206</v>
      </c>
      <c r="C75" s="138" t="s">
        <v>207</v>
      </c>
      <c r="D75" s="140">
        <v>12000</v>
      </c>
      <c r="E75" s="140">
        <v>18000</v>
      </c>
      <c r="F75" s="141">
        <v>3</v>
      </c>
      <c r="G75" s="142">
        <v>2</v>
      </c>
      <c r="H75" s="141">
        <f>(Table242325678910111213141516201921222325[[#This Row],[STOK]]-Table242325678910111213141516201921222325[[#This Row],[TERJUAL]])</f>
        <v>1</v>
      </c>
      <c r="I75" s="143">
        <f>(Table242325678910111213141516201921222325[HARGA JUAL]*Table242325678910111213141516201921222325[TERJUAL])-(Table242325678910111213141516201921222325[HARGA POKOK]*Table242325678910111213141516201921222325[TERJUAL])</f>
        <v>12000</v>
      </c>
      <c r="J75" s="143">
        <f>(Table242325678910111213141516201921222325[HARGA JUAL]*Table242325678910111213141516201921222325[TERJUAL])</f>
        <v>36000</v>
      </c>
      <c r="K75" s="143">
        <f>Table242325678910111213141516201921222325[HARGA JUAL]*Table242325678910111213141516201921222325[SISA]</f>
        <v>18000</v>
      </c>
      <c r="L75" s="144">
        <f>Table242325678910111213141516201921222325[HARGA POKOK]*Table242325678910111213141516201921222325[STOK]</f>
        <v>36000</v>
      </c>
      <c r="M75" s="144">
        <f>Table242325678910111213141516201921222325[HARGA JUAL]*Table242325678910111213141516201921222325[STOK]</f>
        <v>54000</v>
      </c>
      <c r="N75" s="145"/>
    </row>
    <row r="76" spans="1:14" x14ac:dyDescent="0.25">
      <c r="A76" s="137">
        <v>72</v>
      </c>
      <c r="B76" s="138" t="s">
        <v>206</v>
      </c>
      <c r="C76" s="138" t="s">
        <v>208</v>
      </c>
      <c r="D76" s="140">
        <v>14000</v>
      </c>
      <c r="E76" s="140">
        <v>37000</v>
      </c>
      <c r="F76" s="141">
        <v>5</v>
      </c>
      <c r="G76" s="142"/>
      <c r="H76" s="141">
        <f>(Table242325678910111213141516201921222325[[#This Row],[STOK]]-Table242325678910111213141516201921222325[[#This Row],[TERJUAL]])</f>
        <v>5</v>
      </c>
      <c r="I76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76" s="143">
        <f>(Table242325678910111213141516201921222325[HARGA JUAL]*Table242325678910111213141516201921222325[TERJUAL])</f>
        <v>0</v>
      </c>
      <c r="K76" s="143">
        <f>Table242325678910111213141516201921222325[HARGA JUAL]*Table242325678910111213141516201921222325[SISA]</f>
        <v>185000</v>
      </c>
      <c r="L76" s="144">
        <f>Table242325678910111213141516201921222325[HARGA POKOK]*Table242325678910111213141516201921222325[STOK]</f>
        <v>70000</v>
      </c>
      <c r="M76" s="144">
        <f>Table242325678910111213141516201921222325[HARGA JUAL]*Table242325678910111213141516201921222325[STOK]</f>
        <v>185000</v>
      </c>
      <c r="N76" s="145"/>
    </row>
    <row r="77" spans="1:14" x14ac:dyDescent="0.25">
      <c r="A77" s="137">
        <v>73</v>
      </c>
      <c r="B77" s="138" t="s">
        <v>206</v>
      </c>
      <c r="C77" s="138" t="s">
        <v>358</v>
      </c>
      <c r="D77" s="140">
        <v>13000</v>
      </c>
      <c r="E77" s="140">
        <v>32000</v>
      </c>
      <c r="F77" s="141">
        <v>6</v>
      </c>
      <c r="G77" s="142"/>
      <c r="H77" s="141">
        <f>(Table242325678910111213141516201921222325[[#This Row],[STOK]]-Table242325678910111213141516201921222325[[#This Row],[TERJUAL]])</f>
        <v>6</v>
      </c>
      <c r="I77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77" s="143">
        <f>(Table242325678910111213141516201921222325[HARGA JUAL]*Table242325678910111213141516201921222325[TERJUAL])</f>
        <v>0</v>
      </c>
      <c r="K77" s="143">
        <f>Table242325678910111213141516201921222325[HARGA JUAL]*Table242325678910111213141516201921222325[SISA]</f>
        <v>192000</v>
      </c>
      <c r="L77" s="144">
        <f>Table242325678910111213141516201921222325[HARGA POKOK]*Table242325678910111213141516201921222325[STOK]</f>
        <v>78000</v>
      </c>
      <c r="M77" s="144">
        <f>Table242325678910111213141516201921222325[HARGA JUAL]*Table242325678910111213141516201921222325[STOK]</f>
        <v>192000</v>
      </c>
      <c r="N77" s="145"/>
    </row>
    <row r="78" spans="1:14" x14ac:dyDescent="0.25">
      <c r="A78" s="137">
        <v>74</v>
      </c>
      <c r="B78" s="138" t="s">
        <v>209</v>
      </c>
      <c r="C78" s="138" t="s">
        <v>210</v>
      </c>
      <c r="D78" s="140">
        <v>20000</v>
      </c>
      <c r="E78" s="140">
        <v>40000</v>
      </c>
      <c r="F78" s="141"/>
      <c r="G78" s="142"/>
      <c r="H78" s="141">
        <f>(Table242325678910111213141516201921222325[[#This Row],[STOK]]-Table242325678910111213141516201921222325[[#This Row],[TERJUAL]])</f>
        <v>0</v>
      </c>
      <c r="I78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78" s="143">
        <f>(Table242325678910111213141516201921222325[HARGA JUAL]*Table242325678910111213141516201921222325[TERJUAL])</f>
        <v>0</v>
      </c>
      <c r="K78" s="143">
        <f>Table242325678910111213141516201921222325[HARGA JUAL]*Table242325678910111213141516201921222325[SISA]</f>
        <v>0</v>
      </c>
      <c r="L78" s="144">
        <f>Table242325678910111213141516201921222325[HARGA POKOK]*Table242325678910111213141516201921222325[STOK]</f>
        <v>0</v>
      </c>
      <c r="M78" s="144">
        <f>Table242325678910111213141516201921222325[HARGA JUAL]*Table242325678910111213141516201921222325[STOK]</f>
        <v>0</v>
      </c>
      <c r="N78" s="145"/>
    </row>
    <row r="79" spans="1:14" x14ac:dyDescent="0.25">
      <c r="A79" s="137">
        <v>75</v>
      </c>
      <c r="B79" s="138" t="s">
        <v>209</v>
      </c>
      <c r="C79" s="138" t="s">
        <v>211</v>
      </c>
      <c r="D79" s="140">
        <v>26000</v>
      </c>
      <c r="E79" s="140">
        <v>45000</v>
      </c>
      <c r="F79" s="141">
        <v>1</v>
      </c>
      <c r="G79" s="142"/>
      <c r="H79" s="141">
        <f>(Table242325678910111213141516201921222325[[#This Row],[STOK]]-Table242325678910111213141516201921222325[[#This Row],[TERJUAL]])</f>
        <v>1</v>
      </c>
      <c r="I79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79" s="143">
        <f>(Table242325678910111213141516201921222325[HARGA JUAL]*Table242325678910111213141516201921222325[TERJUAL])</f>
        <v>0</v>
      </c>
      <c r="K79" s="143">
        <f>Table242325678910111213141516201921222325[HARGA JUAL]*Table242325678910111213141516201921222325[SISA]</f>
        <v>45000</v>
      </c>
      <c r="L79" s="144">
        <f>Table242325678910111213141516201921222325[HARGA POKOK]*Table242325678910111213141516201921222325[STOK]</f>
        <v>26000</v>
      </c>
      <c r="M79" s="144">
        <f>Table242325678910111213141516201921222325[HARGA JUAL]*Table242325678910111213141516201921222325[STOK]</f>
        <v>45000</v>
      </c>
      <c r="N79" s="145"/>
    </row>
    <row r="80" spans="1:14" x14ac:dyDescent="0.25">
      <c r="A80" s="137">
        <v>76</v>
      </c>
      <c r="B80" s="138" t="s">
        <v>212</v>
      </c>
      <c r="C80" s="138" t="s">
        <v>213</v>
      </c>
      <c r="D80" s="140">
        <v>600000</v>
      </c>
      <c r="E80" s="140">
        <v>800000</v>
      </c>
      <c r="F80" s="141"/>
      <c r="G80" s="142"/>
      <c r="H80" s="141">
        <f>(Table242325678910111213141516201921222325[[#This Row],[STOK]]-Table242325678910111213141516201921222325[[#This Row],[TERJUAL]])</f>
        <v>0</v>
      </c>
      <c r="I80" s="143">
        <f>(Table242325678910111213141516201921222325[HARGA JUAL]*Table242325678910111213141516201921222325[TERJUAL])-(Table242325678910111213141516201921222325[HARGA POKOK]*Table242325678910111213141516201921222325[TERJUAL])</f>
        <v>0</v>
      </c>
      <c r="J80" s="143">
        <f>(Table242325678910111213141516201921222325[HARGA JUAL]*Table242325678910111213141516201921222325[TERJUAL])</f>
        <v>0</v>
      </c>
      <c r="K80" s="143">
        <f>Table242325678910111213141516201921222325[HARGA JUAL]*Table242325678910111213141516201921222325[SISA]</f>
        <v>0</v>
      </c>
      <c r="L80" s="144">
        <f>Table242325678910111213141516201921222325[HARGA POKOK]*Table242325678910111213141516201921222325[STOK]</f>
        <v>0</v>
      </c>
      <c r="M80" s="144">
        <f>Table242325678910111213141516201921222325[HARGA JUAL]*Table242325678910111213141516201921222325[STOK]</f>
        <v>0</v>
      </c>
      <c r="N80" s="145"/>
    </row>
    <row r="81" spans="1:14" x14ac:dyDescent="0.25">
      <c r="A81" s="137">
        <v>77</v>
      </c>
      <c r="B81" s="193" t="s">
        <v>194</v>
      </c>
      <c r="C81" s="193" t="s">
        <v>194</v>
      </c>
      <c r="D81" s="194">
        <v>30000</v>
      </c>
      <c r="E81" s="194">
        <v>40000</v>
      </c>
      <c r="F81" s="195">
        <v>9</v>
      </c>
      <c r="G81" s="196"/>
      <c r="H81" s="195">
        <f>(Table242325678910111213141516201921222325[[#This Row],[STOK]]-Table242325678910111213141516201921222325[[#This Row],[TERJUAL]])</f>
        <v>9</v>
      </c>
      <c r="I81" s="197">
        <f>(Table242325678910111213141516201921222325[HARGA JUAL]*Table242325678910111213141516201921222325[TERJUAL])-(Table242325678910111213141516201921222325[HARGA POKOK]*Table242325678910111213141516201921222325[TERJUAL])</f>
        <v>0</v>
      </c>
      <c r="J81" s="197">
        <f>(Table242325678910111213141516201921222325[HARGA JUAL]*Table242325678910111213141516201921222325[TERJUAL])</f>
        <v>0</v>
      </c>
      <c r="K81" s="197"/>
      <c r="L81" s="198"/>
      <c r="M81" s="198"/>
      <c r="N81" s="199"/>
    </row>
    <row r="82" spans="1:14" x14ac:dyDescent="0.25">
      <c r="A82" s="137">
        <v>78</v>
      </c>
      <c r="B82" s="146" t="s">
        <v>195</v>
      </c>
      <c r="C82" s="146" t="s">
        <v>195</v>
      </c>
      <c r="D82" s="147">
        <v>30000</v>
      </c>
      <c r="E82" s="147">
        <v>40000</v>
      </c>
      <c r="F82" s="148">
        <v>14</v>
      </c>
      <c r="G82" s="149"/>
      <c r="H82" s="148">
        <f>(Table242325678910111213141516201921222325[[#This Row],[STOK]]-Table242325678910111213141516201921222325[[#This Row],[TERJUAL]])</f>
        <v>14</v>
      </c>
      <c r="I82" s="150">
        <f>(Table242325678910111213141516201921222325[HARGA JUAL]*Table242325678910111213141516201921222325[TERJUAL])-(Table242325678910111213141516201921222325[HARGA POKOK]*Table242325678910111213141516201921222325[TERJUAL])</f>
        <v>0</v>
      </c>
      <c r="J82" s="150">
        <f>(Table242325678910111213141516201921222325[HARGA JUAL]*Table242325678910111213141516201921222325[TERJUAL])</f>
        <v>0</v>
      </c>
      <c r="K82" s="150">
        <f>Table242325678910111213141516201921222325[HARGA JUAL]*Table242325678910111213141516201921222325[SISA]</f>
        <v>560000</v>
      </c>
      <c r="L82" s="151">
        <f>Table242325678910111213141516201921222325[HARGA POKOK]*Table242325678910111213141516201921222325[STOK]</f>
        <v>420000</v>
      </c>
      <c r="M82" s="151">
        <f>Table242325678910111213141516201921222325[HARGA JUAL]*Table242325678910111213141516201921222325[STOK]</f>
        <v>560000</v>
      </c>
      <c r="N82" s="152"/>
    </row>
    <row r="83" spans="1:14" x14ac:dyDescent="0.25">
      <c r="A83" s="137">
        <v>79</v>
      </c>
      <c r="B83" s="193" t="s">
        <v>215</v>
      </c>
      <c r="C83" s="193" t="s">
        <v>215</v>
      </c>
      <c r="D83" s="194">
        <v>310000</v>
      </c>
      <c r="E83" s="194">
        <v>410000</v>
      </c>
      <c r="F83" s="195"/>
      <c r="G83" s="196"/>
      <c r="H83" s="195">
        <f>(Table242325678910111213141516201921222325[[#This Row],[STOK]]-Table242325678910111213141516201921222325[[#This Row],[TERJUAL]])</f>
        <v>0</v>
      </c>
      <c r="I83" s="197">
        <f>(Table242325678910111213141516201921222325[HARGA JUAL]*Table242325678910111213141516201921222325[TERJUAL])-(Table242325678910111213141516201921222325[HARGA POKOK]*Table242325678910111213141516201921222325[TERJUAL])</f>
        <v>0</v>
      </c>
      <c r="J83" s="197">
        <f>(Table242325678910111213141516201921222325[HARGA JUAL]*Table242325678910111213141516201921222325[TERJUAL])</f>
        <v>0</v>
      </c>
      <c r="K83" s="197">
        <f>Table242325678910111213141516201921222325[HARGA JUAL]*Table242325678910111213141516201921222325[SISA]</f>
        <v>0</v>
      </c>
      <c r="L83" s="198">
        <f>Table242325678910111213141516201921222325[HARGA POKOK]*Table242325678910111213141516201921222325[STOK]</f>
        <v>0</v>
      </c>
      <c r="M83" s="198">
        <f>Table242325678910111213141516201921222325[HARGA JUAL]*Table242325678910111213141516201921222325[STOK]</f>
        <v>0</v>
      </c>
      <c r="N83" s="199"/>
    </row>
    <row r="84" spans="1:14" x14ac:dyDescent="0.25">
      <c r="A84" s="137">
        <v>80</v>
      </c>
      <c r="B84" s="153" t="s">
        <v>212</v>
      </c>
      <c r="C84" s="153" t="s">
        <v>213</v>
      </c>
      <c r="D84" s="154">
        <v>6000</v>
      </c>
      <c r="E84" s="154">
        <v>8000</v>
      </c>
      <c r="F84" s="155"/>
      <c r="G84" s="178"/>
      <c r="H84" s="155">
        <f>(Table242325678910111213141516201921222325[[#This Row],[STOK]]-Table242325678910111213141516201921222325[[#This Row],[TERJUAL]])</f>
        <v>0</v>
      </c>
      <c r="I84" s="157">
        <f>(Table242325678910111213141516201921222325[HARGA JUAL]*Table242325678910111213141516201921222325[TERJUAL])-(Table242325678910111213141516201921222325[HARGA POKOK]*Table242325678910111213141516201921222325[TERJUAL])</f>
        <v>0</v>
      </c>
      <c r="J84" s="157">
        <f>(Table242325678910111213141516201921222325[HARGA JUAL]*Table242325678910111213141516201921222325[TERJUAL])</f>
        <v>0</v>
      </c>
      <c r="K84" s="157"/>
      <c r="L84" s="158"/>
      <c r="M84" s="158"/>
      <c r="N84" s="179"/>
    </row>
    <row r="85" spans="1:14" x14ac:dyDescent="0.25">
      <c r="A85" s="137">
        <v>81</v>
      </c>
      <c r="B85" s="153" t="s">
        <v>71</v>
      </c>
      <c r="C85" s="153" t="s">
        <v>194</v>
      </c>
      <c r="D85" s="154">
        <v>1200</v>
      </c>
      <c r="E85" s="154">
        <v>2000</v>
      </c>
      <c r="F85" s="155"/>
      <c r="G85" s="156">
        <v>10</v>
      </c>
      <c r="H85" s="155">
        <f>(Table242325678910111213141516201921222325[[#This Row],[STOK]]-Table242325678910111213141516201921222325[[#This Row],[TERJUAL]])</f>
        <v>-10</v>
      </c>
      <c r="I85" s="157">
        <f>(Table242325678910111213141516201921222325[HARGA JUAL]*Table242325678910111213141516201921222325[TERJUAL])-(Table242325678910111213141516201921222325[HARGA POKOK]*Table242325678910111213141516201921222325[TERJUAL])</f>
        <v>8000</v>
      </c>
      <c r="J85" s="157">
        <f>(Table242325678910111213141516201921222325[HARGA JUAL]*Table242325678910111213141516201921222325[TERJUAL])</f>
        <v>20000</v>
      </c>
      <c r="K85" s="157"/>
      <c r="L85" s="158"/>
      <c r="M85" s="158"/>
      <c r="N85" s="179"/>
    </row>
    <row r="86" spans="1:14" x14ac:dyDescent="0.25">
      <c r="A86" s="137">
        <v>82</v>
      </c>
      <c r="B86" s="153" t="s">
        <v>71</v>
      </c>
      <c r="C86" s="153" t="s">
        <v>195</v>
      </c>
      <c r="D86" s="154">
        <v>700</v>
      </c>
      <c r="E86" s="154">
        <v>1500</v>
      </c>
      <c r="F86" s="155"/>
      <c r="G86" s="156">
        <v>27</v>
      </c>
      <c r="H86" s="155">
        <f>(Table242325678910111213141516201921222325[[#This Row],[STOK]]-Table242325678910111213141516201921222325[[#This Row],[TERJUAL]])</f>
        <v>-27</v>
      </c>
      <c r="I86" s="157">
        <f>(Table242325678910111213141516201921222325[HARGA JUAL]*Table242325678910111213141516201921222325[TERJUAL])-(Table242325678910111213141516201921222325[HARGA POKOK]*Table242325678910111213141516201921222325[TERJUAL])</f>
        <v>21600</v>
      </c>
      <c r="J86" s="157">
        <f>(Table242325678910111213141516201921222325[HARGA JUAL]*Table242325678910111213141516201921222325[TERJUAL])</f>
        <v>40500</v>
      </c>
      <c r="K86" s="157"/>
      <c r="L86" s="158"/>
      <c r="M86" s="158"/>
      <c r="N86" s="179"/>
    </row>
    <row r="87" spans="1:14" x14ac:dyDescent="0.25">
      <c r="A87" s="137">
        <v>83</v>
      </c>
      <c r="B87" s="256" t="s">
        <v>68</v>
      </c>
      <c r="C87" s="256" t="s">
        <v>69</v>
      </c>
      <c r="D87" s="268">
        <v>8200</v>
      </c>
      <c r="E87" s="262">
        <v>11000</v>
      </c>
      <c r="F87" s="263"/>
      <c r="G87" s="269">
        <v>801</v>
      </c>
      <c r="H87" s="263">
        <f>(Table242325678910111213141516201921222325[[#This Row],[STOK]]-Table242325678910111213141516201921222325[[#This Row],[TERJUAL]])</f>
        <v>-801</v>
      </c>
      <c r="I87" s="265">
        <f>(Table242325678910111213141516201921222325[HARGA JUAL]*Table242325678910111213141516201921222325[TERJUAL])-(Table242325678910111213141516201921222325[HARGA POKOK]*Table242325678910111213141516201921222325[TERJUAL])</f>
        <v>2242800</v>
      </c>
      <c r="J87" s="265">
        <f>(Table242325678910111213141516201921222325[HARGA JUAL]*Table242325678910111213141516201921222325[TERJUAL])</f>
        <v>8811000</v>
      </c>
      <c r="K87" s="265"/>
      <c r="L87" s="266"/>
      <c r="M87" s="266"/>
      <c r="N87" s="267"/>
    </row>
    <row r="88" spans="1:14" x14ac:dyDescent="0.25">
      <c r="A88" s="137">
        <v>84</v>
      </c>
      <c r="B88" s="153" t="s">
        <v>173</v>
      </c>
      <c r="C88" s="153" t="s">
        <v>174</v>
      </c>
      <c r="D88" s="159">
        <v>9040</v>
      </c>
      <c r="E88" s="154">
        <v>12000</v>
      </c>
      <c r="F88" s="155"/>
      <c r="G88" s="156"/>
      <c r="H88" s="155">
        <f>(Table242325678910111213141516201921222325[[#This Row],[STOK]]-Table242325678910111213141516201921222325[[#This Row],[TERJUAL]])</f>
        <v>0</v>
      </c>
      <c r="I88" s="157">
        <f>(Table242325678910111213141516201921222325[HARGA JUAL]*Table242325678910111213141516201921222325[TERJUAL])-(Table242325678910111213141516201921222325[HARGA POKOK]*Table242325678910111213141516201921222325[TERJUAL])</f>
        <v>0</v>
      </c>
      <c r="J88" s="157">
        <f>(Table242325678910111213141516201921222325[HARGA JUAL]*Table242325678910111213141516201921222325[TERJUAL])</f>
        <v>0</v>
      </c>
      <c r="K88" s="157"/>
      <c r="L88" s="158"/>
      <c r="M88" s="158"/>
      <c r="N88" s="179"/>
    </row>
    <row r="89" spans="1:14" x14ac:dyDescent="0.25">
      <c r="A89" s="137">
        <v>85</v>
      </c>
      <c r="B89" s="153" t="s">
        <v>146</v>
      </c>
      <c r="C89" s="153" t="s">
        <v>152</v>
      </c>
      <c r="D89" s="159">
        <v>6200</v>
      </c>
      <c r="E89" s="154">
        <v>11000</v>
      </c>
      <c r="F89" s="155"/>
      <c r="G89" s="160" t="s">
        <v>369</v>
      </c>
      <c r="H89" s="155">
        <f>(Table242325678910111213141516201921222325[[#This Row],[STOK]]-Table242325678910111213141516201921222325[[#This Row],[TERJUAL]])</f>
        <v>-48</v>
      </c>
      <c r="I89" s="157">
        <f>(Table242325678910111213141516201921222325[HARGA JUAL]*Table242325678910111213141516201921222325[TERJUAL])-(Table242325678910111213141516201921222325[HARGA POKOK]*Table242325678910111213141516201921222325[TERJUAL])</f>
        <v>230400</v>
      </c>
      <c r="J89" s="157">
        <f>(Table242325678910111213141516201921222325[HARGA JUAL]*Table242325678910111213141516201921222325[TERJUAL])</f>
        <v>528000</v>
      </c>
      <c r="K89" s="157"/>
      <c r="L89" s="158"/>
      <c r="M89" s="158"/>
      <c r="N89" s="179"/>
    </row>
    <row r="90" spans="1:14" x14ac:dyDescent="0.25">
      <c r="A90" s="137">
        <v>86</v>
      </c>
      <c r="B90" s="153" t="s">
        <v>321</v>
      </c>
      <c r="C90" s="153" t="s">
        <v>269</v>
      </c>
      <c r="D90" s="159">
        <v>9700</v>
      </c>
      <c r="E90" s="154">
        <v>12000</v>
      </c>
      <c r="F90" s="155"/>
      <c r="G90" s="160" t="s">
        <v>252</v>
      </c>
      <c r="H90" s="155">
        <f>(Table242325678910111213141516201921222325[[#This Row],[STOK]]-Table242325678910111213141516201921222325[[#This Row],[TERJUAL]])</f>
        <v>-5</v>
      </c>
      <c r="I90" s="157">
        <f>(Table242325678910111213141516201921222325[HARGA JUAL]*Table242325678910111213141516201921222325[TERJUAL])-(Table242325678910111213141516201921222325[HARGA POKOK]*Table242325678910111213141516201921222325[TERJUAL])</f>
        <v>11500</v>
      </c>
      <c r="J90" s="157">
        <f>(Table242325678910111213141516201921222325[HARGA JUAL]*Table242325678910111213141516201921222325[TERJUAL])</f>
        <v>60000</v>
      </c>
      <c r="K90" s="157"/>
      <c r="L90" s="158"/>
      <c r="M90" s="158"/>
      <c r="N90" s="179"/>
    </row>
    <row r="91" spans="1:14" x14ac:dyDescent="0.25">
      <c r="A91" s="137">
        <v>87</v>
      </c>
      <c r="B91" s="167" t="s">
        <v>31</v>
      </c>
      <c r="C91" s="167" t="s">
        <v>282</v>
      </c>
      <c r="D91" s="168">
        <v>3000</v>
      </c>
      <c r="E91" s="169">
        <v>5000</v>
      </c>
      <c r="F91" s="170">
        <v>43</v>
      </c>
      <c r="G91" s="171">
        <v>2</v>
      </c>
      <c r="H91" s="172">
        <f>(Table242325678910111213141516201921222325[[#This Row],[STOK]]-Table242325678910111213141516201921222325[[#This Row],[TERJUAL]])</f>
        <v>41</v>
      </c>
      <c r="I91" s="173">
        <f>(Table242325678910111213141516201921222325[HARGA JUAL]*Table242325678910111213141516201921222325[TERJUAL])-(Table242325678910111213141516201921222325[HARGA POKOK]*Table242325678910111213141516201921222325[TERJUAL])</f>
        <v>4000</v>
      </c>
      <c r="J91" s="173">
        <f>(Table242325678910111213141516201921222325[HARGA JUAL]*Table242325678910111213141516201921222325[TERJUAL])</f>
        <v>10000</v>
      </c>
      <c r="K91" s="173">
        <f>(Table242325678910111213141516201921222325[[#This Row],[HARGA JUAL]]*Table242325678910111213141516201921222325[[#This Row],[SISA]])</f>
        <v>205000</v>
      </c>
      <c r="L91" s="174"/>
      <c r="M91" s="174"/>
      <c r="N91" s="181"/>
    </row>
    <row r="92" spans="1:14" x14ac:dyDescent="0.25">
      <c r="A92" s="137">
        <v>88</v>
      </c>
      <c r="B92" s="167" t="s">
        <v>31</v>
      </c>
      <c r="C92" s="167" t="s">
        <v>283</v>
      </c>
      <c r="D92" s="168">
        <v>3000</v>
      </c>
      <c r="E92" s="169">
        <v>5000</v>
      </c>
      <c r="F92" s="170">
        <v>13</v>
      </c>
      <c r="G92" s="171">
        <v>2</v>
      </c>
      <c r="H92" s="172">
        <f>(Table242325678910111213141516201921222325[[#This Row],[STOK]]-Table242325678910111213141516201921222325[[#This Row],[TERJUAL]])</f>
        <v>11</v>
      </c>
      <c r="I92" s="173">
        <f>(Table242325678910111213141516201921222325[HARGA JUAL]*Table242325678910111213141516201921222325[TERJUAL])-(Table242325678910111213141516201921222325[HARGA POKOK]*Table242325678910111213141516201921222325[TERJUAL])</f>
        <v>4000</v>
      </c>
      <c r="J92" s="173">
        <f>(Table242325678910111213141516201921222325[HARGA JUAL]*Table242325678910111213141516201921222325[TERJUAL])</f>
        <v>10000</v>
      </c>
      <c r="K92" s="173">
        <f>(Table242325678910111213141516201921222325[[#This Row],[HARGA JUAL]]*Table242325678910111213141516201921222325[[#This Row],[SISA]])</f>
        <v>55000</v>
      </c>
      <c r="L92" s="174"/>
      <c r="M92" s="174"/>
      <c r="N92" s="181"/>
    </row>
    <row r="93" spans="1:14" x14ac:dyDescent="0.25">
      <c r="A93" s="137">
        <v>89</v>
      </c>
      <c r="B93" s="167" t="s">
        <v>31</v>
      </c>
      <c r="C93" s="167" t="s">
        <v>284</v>
      </c>
      <c r="D93" s="168">
        <v>3000</v>
      </c>
      <c r="E93" s="169">
        <v>5000</v>
      </c>
      <c r="F93" s="170">
        <v>20</v>
      </c>
      <c r="G93" s="171">
        <v>4</v>
      </c>
      <c r="H93" s="172">
        <f>(Table242325678910111213141516201921222325[[#This Row],[STOK]]-Table242325678910111213141516201921222325[[#This Row],[TERJUAL]])</f>
        <v>16</v>
      </c>
      <c r="I93" s="173">
        <f>(Table242325678910111213141516201921222325[HARGA JUAL]*Table242325678910111213141516201921222325[TERJUAL])-(Table242325678910111213141516201921222325[HARGA POKOK]*Table242325678910111213141516201921222325[TERJUAL])</f>
        <v>8000</v>
      </c>
      <c r="J93" s="173">
        <f>(Table242325678910111213141516201921222325[HARGA JUAL]*Table242325678910111213141516201921222325[TERJUAL])</f>
        <v>20000</v>
      </c>
      <c r="K93" s="173">
        <f>(Table242325678910111213141516201921222325[[#This Row],[HARGA JUAL]]*Table242325678910111213141516201921222325[[#This Row],[SISA]])</f>
        <v>80000</v>
      </c>
      <c r="L93" s="174"/>
      <c r="M93" s="174"/>
      <c r="N93" s="181"/>
    </row>
    <row r="94" spans="1:14" x14ac:dyDescent="0.25">
      <c r="A94" s="137">
        <v>90</v>
      </c>
      <c r="B94" s="167" t="s">
        <v>31</v>
      </c>
      <c r="C94" s="167" t="s">
        <v>307</v>
      </c>
      <c r="D94" s="168">
        <v>2000</v>
      </c>
      <c r="E94" s="169">
        <v>5000</v>
      </c>
      <c r="F94" s="170">
        <v>35</v>
      </c>
      <c r="G94" s="171">
        <v>10</v>
      </c>
      <c r="H94" s="172">
        <f>(Table242325678910111213141516201921222325[[#This Row],[STOK]]-Table242325678910111213141516201921222325[[#This Row],[TERJUAL]])</f>
        <v>25</v>
      </c>
      <c r="I94" s="173">
        <f>(Table242325678910111213141516201921222325[HARGA JUAL]*Table242325678910111213141516201921222325[TERJUAL])-(Table242325678910111213141516201921222325[HARGA POKOK]*Table242325678910111213141516201921222325[TERJUAL])</f>
        <v>30000</v>
      </c>
      <c r="J94" s="173">
        <f>(Table242325678910111213141516201921222325[HARGA JUAL]*Table242325678910111213141516201921222325[TERJUAL])</f>
        <v>50000</v>
      </c>
      <c r="K94" s="173">
        <f>Table242325678910111213141516201921222325[HARGA JUAL]*Table242325678910111213141516201921222325[SISA]</f>
        <v>125000</v>
      </c>
      <c r="L94" s="174"/>
      <c r="M94" s="174"/>
      <c r="N94" s="181"/>
    </row>
    <row r="95" spans="1:14" x14ac:dyDescent="0.25">
      <c r="A95" s="137">
        <v>91</v>
      </c>
      <c r="B95" s="167" t="s">
        <v>308</v>
      </c>
      <c r="C95" s="167" t="s">
        <v>205</v>
      </c>
      <c r="D95" s="168">
        <v>45000</v>
      </c>
      <c r="E95" s="169">
        <v>50000</v>
      </c>
      <c r="F95" s="170"/>
      <c r="G95" s="171"/>
      <c r="H95" s="172">
        <f>(Table242325678910111213141516201921222325[[#This Row],[STOK]]-Table242325678910111213141516201921222325[[#This Row],[TERJUAL]])</f>
        <v>0</v>
      </c>
      <c r="I95" s="173">
        <f>(Table242325678910111213141516201921222325[HARGA JUAL]*Table242325678910111213141516201921222325[TERJUAL])-(Table242325678910111213141516201921222325[HARGA POKOK]*Table242325678910111213141516201921222325[TERJUAL])</f>
        <v>0</v>
      </c>
      <c r="J95" s="173">
        <f>(Table242325678910111213141516201921222325[HARGA JUAL]*Table242325678910111213141516201921222325[TERJUAL])</f>
        <v>0</v>
      </c>
      <c r="K95" s="173">
        <f>Table242325678910111213141516201921222325[HARGA JUAL]*Table242325678910111213141516201921222325[SISA]</f>
        <v>0</v>
      </c>
      <c r="L95" s="174"/>
      <c r="M95" s="174"/>
      <c r="N95" s="181"/>
    </row>
    <row r="96" spans="1:14" x14ac:dyDescent="0.25">
      <c r="A96" s="137">
        <v>92</v>
      </c>
      <c r="B96" s="167" t="s">
        <v>331</v>
      </c>
      <c r="C96" s="167" t="s">
        <v>332</v>
      </c>
      <c r="D96" s="168">
        <v>85000</v>
      </c>
      <c r="E96" s="169">
        <v>115000</v>
      </c>
      <c r="F96" s="170"/>
      <c r="G96" s="171"/>
      <c r="H96" s="172">
        <f>(Table242325678910111213141516201921222325[[#This Row],[STOK]]-Table242325678910111213141516201921222325[[#This Row],[TERJUAL]])</f>
        <v>0</v>
      </c>
      <c r="I96" s="173">
        <f>(Table242325678910111213141516201921222325[HARGA JUAL]*Table242325678910111213141516201921222325[TERJUAL])-(Table242325678910111213141516201921222325[HARGA POKOK]*Table242325678910111213141516201921222325[TERJUAL])</f>
        <v>0</v>
      </c>
      <c r="J96" s="173">
        <f>(Table242325678910111213141516201921222325[HARGA JUAL]*Table242325678910111213141516201921222325[TERJUAL])</f>
        <v>0</v>
      </c>
      <c r="K96" s="173">
        <f>Table242325678910111213141516201921222325[HARGA JUAL]*Table242325678910111213141516201921222325[SISA]</f>
        <v>0</v>
      </c>
      <c r="L96" s="174"/>
      <c r="M96" s="174"/>
      <c r="N96" s="181"/>
    </row>
    <row r="97" spans="1:14" ht="18.75" x14ac:dyDescent="0.25">
      <c r="A97" s="404" t="s">
        <v>8</v>
      </c>
      <c r="B97" s="404"/>
      <c r="C97" s="404"/>
      <c r="D97" s="404"/>
      <c r="E97" s="404"/>
      <c r="F97" s="39"/>
      <c r="G97" s="39"/>
      <c r="H97" s="40"/>
      <c r="I97" s="175">
        <f>SUM(I5:I96)</f>
        <v>12028200</v>
      </c>
      <c r="J97" s="176">
        <f>SUM(J5:J96)</f>
        <v>58481500</v>
      </c>
      <c r="K97" s="41">
        <f>SUM(K5:K96)</f>
        <v>123835000</v>
      </c>
      <c r="L97" s="177">
        <f>SUM(L5:L96)</f>
        <v>134594100</v>
      </c>
      <c r="M97" s="42">
        <f>SUM(M5:M96)</f>
        <v>172302000</v>
      </c>
      <c r="N97" s="145"/>
    </row>
    <row r="98" spans="1:14" x14ac:dyDescent="0.25">
      <c r="B98" s="1"/>
      <c r="C98" s="3"/>
      <c r="G98" s="1"/>
      <c r="H98" s="11"/>
      <c r="I98" s="6"/>
      <c r="J98" s="6"/>
      <c r="K98" s="6"/>
      <c r="L98" s="1"/>
      <c r="M98" s="1"/>
    </row>
    <row r="99" spans="1:14" x14ac:dyDescent="0.25">
      <c r="A99" s="165"/>
      <c r="B99" s="28"/>
      <c r="C99" s="28"/>
      <c r="E99" s="386" t="s">
        <v>370</v>
      </c>
      <c r="F99" s="386"/>
      <c r="G99" s="386"/>
      <c r="H99" s="386"/>
      <c r="I99" s="386"/>
      <c r="J99" s="386"/>
      <c r="K99" s="325"/>
      <c r="L99" s="1"/>
      <c r="M99" s="1"/>
    </row>
    <row r="100" spans="1:14" x14ac:dyDescent="0.25">
      <c r="A100" s="165" t="s">
        <v>198</v>
      </c>
      <c r="B100" s="28"/>
      <c r="C100" s="28"/>
      <c r="E100" s="161"/>
      <c r="F100" s="161"/>
      <c r="G100" s="387"/>
      <c r="H100" s="387"/>
      <c r="I100" s="28"/>
      <c r="J100" s="28"/>
      <c r="K100" s="28"/>
      <c r="L100" s="7"/>
    </row>
    <row r="101" spans="1:14" x14ac:dyDescent="0.25">
      <c r="A101" s="165" t="s">
        <v>199</v>
      </c>
      <c r="B101" s="1"/>
      <c r="C101" s="3"/>
      <c r="E101" s="161"/>
      <c r="F101" s="161"/>
      <c r="G101" s="94"/>
      <c r="H101" s="94"/>
      <c r="I101" s="28"/>
      <c r="J101" s="28"/>
      <c r="K101" s="28"/>
      <c r="L101" s="28"/>
    </row>
    <row r="102" spans="1:14" x14ac:dyDescent="0.25">
      <c r="A102" s="165" t="s">
        <v>200</v>
      </c>
      <c r="E102" s="43" t="s">
        <v>82</v>
      </c>
      <c r="F102" s="44"/>
      <c r="G102" s="390">
        <f>SUBTOTAL(109,Table242325678910111213141516201921222325[TOTAL H. B. LAKU TERJUAL])</f>
        <v>58481500</v>
      </c>
      <c r="H102" s="390"/>
      <c r="I102" s="390"/>
      <c r="J102" s="43"/>
      <c r="K102" s="7"/>
      <c r="L102" s="27"/>
      <c r="M102" s="1"/>
    </row>
    <row r="103" spans="1:14" x14ac:dyDescent="0.25">
      <c r="A103" s="165"/>
      <c r="C103" s="1"/>
      <c r="E103" s="43"/>
      <c r="F103" s="44"/>
      <c r="G103" s="326"/>
      <c r="H103" s="326"/>
      <c r="I103" s="326"/>
      <c r="J103" s="43"/>
      <c r="K103" s="7"/>
      <c r="L103" s="27"/>
      <c r="M103" s="1"/>
    </row>
    <row r="104" spans="1:14" x14ac:dyDescent="0.25">
      <c r="A104" s="407" t="s">
        <v>0</v>
      </c>
      <c r="B104" s="406" t="s">
        <v>275</v>
      </c>
      <c r="C104" s="406"/>
      <c r="E104" s="43" t="s">
        <v>83</v>
      </c>
      <c r="F104" s="45" t="s">
        <v>84</v>
      </c>
      <c r="G104" s="391">
        <v>606000</v>
      </c>
      <c r="H104" s="391"/>
      <c r="I104" s="391"/>
      <c r="J104" s="43"/>
      <c r="K104" s="7"/>
      <c r="L104" s="27"/>
      <c r="M104" s="1"/>
    </row>
    <row r="105" spans="1:14" x14ac:dyDescent="0.25">
      <c r="A105" s="407"/>
      <c r="B105" s="225" t="s">
        <v>276</v>
      </c>
      <c r="C105" s="228" t="s">
        <v>277</v>
      </c>
      <c r="E105" s="43" t="s">
        <v>8</v>
      </c>
      <c r="F105" s="43"/>
      <c r="G105" s="392">
        <v>57875500</v>
      </c>
      <c r="H105" s="392"/>
      <c r="I105" s="392"/>
      <c r="J105" s="43"/>
      <c r="K105" s="7"/>
      <c r="L105" s="27"/>
      <c r="M105" s="1"/>
    </row>
    <row r="106" spans="1:14" x14ac:dyDescent="0.25">
      <c r="A106" s="145"/>
      <c r="B106" s="228">
        <v>41</v>
      </c>
      <c r="C106" s="228">
        <v>16</v>
      </c>
      <c r="E106" s="43"/>
      <c r="M106" s="1"/>
    </row>
    <row r="107" spans="1:14" x14ac:dyDescent="0.25">
      <c r="A107" s="7"/>
      <c r="B107" s="327"/>
      <c r="C107" s="327"/>
      <c r="M107" s="1"/>
    </row>
    <row r="108" spans="1:14" x14ac:dyDescent="0.25">
      <c r="A108" s="7"/>
      <c r="B108" s="327"/>
      <c r="C108" s="327"/>
      <c r="M108" s="1"/>
    </row>
    <row r="109" spans="1:14" x14ac:dyDescent="0.25">
      <c r="A109" s="7"/>
      <c r="B109" s="327"/>
      <c r="C109" s="327"/>
      <c r="M109" s="1"/>
    </row>
    <row r="110" spans="1:14" x14ac:dyDescent="0.25">
      <c r="A110" s="7"/>
      <c r="B110" s="327"/>
      <c r="C110" s="327"/>
      <c r="M110" s="1"/>
    </row>
    <row r="111" spans="1:14" x14ac:dyDescent="0.25">
      <c r="A111" s="7"/>
      <c r="B111" s="327"/>
      <c r="C111" s="327"/>
      <c r="M111" s="1"/>
    </row>
    <row r="112" spans="1:14" x14ac:dyDescent="0.25">
      <c r="A112" s="7"/>
      <c r="B112" s="327"/>
      <c r="C112" s="327"/>
      <c r="M112" s="1"/>
    </row>
    <row r="113" spans="1:13" x14ac:dyDescent="0.25">
      <c r="A113" s="7"/>
      <c r="B113" s="327"/>
      <c r="C113" s="327"/>
      <c r="M113" s="1"/>
    </row>
    <row r="114" spans="1:13" x14ac:dyDescent="0.25">
      <c r="A114" s="7"/>
      <c r="B114" s="327"/>
      <c r="C114" s="327"/>
      <c r="M114" s="1"/>
    </row>
    <row r="115" spans="1:13" x14ac:dyDescent="0.25">
      <c r="A115" s="7"/>
      <c r="B115" s="327"/>
      <c r="C115" s="327"/>
      <c r="M115" s="1"/>
    </row>
    <row r="116" spans="1:13" x14ac:dyDescent="0.25">
      <c r="A116" s="7"/>
      <c r="B116" s="327"/>
      <c r="C116" s="327"/>
      <c r="M116" s="1"/>
    </row>
    <row r="117" spans="1:13" x14ac:dyDescent="0.25">
      <c r="A117" s="7"/>
      <c r="B117" s="327"/>
      <c r="C117" s="327"/>
      <c r="M117" s="1"/>
    </row>
    <row r="118" spans="1:13" x14ac:dyDescent="0.25">
      <c r="A118" s="7"/>
      <c r="B118" s="327"/>
      <c r="C118" s="327"/>
      <c r="M118" s="1"/>
    </row>
    <row r="119" spans="1:13" x14ac:dyDescent="0.25">
      <c r="A119" s="7"/>
      <c r="B119" s="327"/>
      <c r="C119" s="327"/>
      <c r="M119" s="1"/>
    </row>
    <row r="120" spans="1:13" x14ac:dyDescent="0.25">
      <c r="A120" s="7"/>
      <c r="B120" s="327"/>
      <c r="C120" s="327"/>
      <c r="M120" s="1"/>
    </row>
    <row r="121" spans="1:13" x14ac:dyDescent="0.25">
      <c r="A121" s="7"/>
      <c r="B121" s="327"/>
      <c r="C121" s="327"/>
      <c r="M121" s="1"/>
    </row>
    <row r="122" spans="1:13" x14ac:dyDescent="0.25">
      <c r="A122" s="7"/>
      <c r="B122" s="327"/>
      <c r="C122" s="327"/>
      <c r="M122" s="1"/>
    </row>
    <row r="123" spans="1:13" x14ac:dyDescent="0.25">
      <c r="A123" s="7"/>
      <c r="B123" s="327"/>
      <c r="C123" s="327"/>
      <c r="M123" s="1"/>
    </row>
    <row r="124" spans="1:13" x14ac:dyDescent="0.25">
      <c r="A124" s="7"/>
      <c r="B124" s="327"/>
      <c r="C124" s="327"/>
      <c r="M124" s="1"/>
    </row>
    <row r="125" spans="1:13" x14ac:dyDescent="0.25">
      <c r="A125" s="7"/>
      <c r="B125" s="327"/>
      <c r="C125" s="327"/>
      <c r="M125" s="1"/>
    </row>
    <row r="126" spans="1:13" x14ac:dyDescent="0.25">
      <c r="A126" s="7"/>
      <c r="B126" s="327"/>
      <c r="C126" s="327"/>
      <c r="M126" s="1"/>
    </row>
    <row r="127" spans="1:13" x14ac:dyDescent="0.25">
      <c r="A127" s="7"/>
      <c r="B127" s="327"/>
      <c r="C127" s="327"/>
      <c r="M127" s="1"/>
    </row>
    <row r="128" spans="1:13" x14ac:dyDescent="0.25">
      <c r="A128" s="7"/>
      <c r="B128" s="327"/>
      <c r="C128" s="327"/>
      <c r="M128" s="1"/>
    </row>
    <row r="129" spans="1:13" x14ac:dyDescent="0.25">
      <c r="A129" s="7"/>
      <c r="B129" s="327"/>
      <c r="C129" s="327"/>
      <c r="M129" s="1"/>
    </row>
    <row r="130" spans="1:13" x14ac:dyDescent="0.25">
      <c r="A130" s="7"/>
      <c r="B130" s="327"/>
      <c r="C130" s="327"/>
      <c r="M130" s="1"/>
    </row>
    <row r="131" spans="1:13" x14ac:dyDescent="0.25">
      <c r="A131" s="7"/>
      <c r="B131" s="327"/>
      <c r="C131" s="327"/>
      <c r="M131" s="1"/>
    </row>
    <row r="132" spans="1:13" x14ac:dyDescent="0.25">
      <c r="A132" s="7"/>
      <c r="B132" s="327"/>
      <c r="C132" s="327"/>
      <c r="M132" s="1"/>
    </row>
    <row r="133" spans="1:13" x14ac:dyDescent="0.25">
      <c r="A133" s="7"/>
      <c r="B133" s="327"/>
      <c r="C133" s="327"/>
      <c r="M133" s="1"/>
    </row>
    <row r="134" spans="1:13" x14ac:dyDescent="0.25">
      <c r="A134" s="7"/>
      <c r="B134" s="327"/>
      <c r="C134" s="327"/>
      <c r="M134" s="1"/>
    </row>
    <row r="135" spans="1:13" x14ac:dyDescent="0.25">
      <c r="A135" s="7"/>
      <c r="B135" s="327"/>
      <c r="C135" s="327"/>
      <c r="M135" s="1"/>
    </row>
    <row r="136" spans="1:13" ht="18.75" x14ac:dyDescent="0.3">
      <c r="A136" s="360" t="s">
        <v>99</v>
      </c>
      <c r="B136" s="360"/>
      <c r="C136" s="360"/>
      <c r="D136" s="360"/>
    </row>
    <row r="137" spans="1:13" ht="18.75" x14ac:dyDescent="0.3">
      <c r="A137" s="360" t="s">
        <v>351</v>
      </c>
      <c r="B137" s="360"/>
      <c r="C137" s="360"/>
      <c r="D137" s="360"/>
    </row>
    <row r="138" spans="1:13" ht="18.75" x14ac:dyDescent="0.3">
      <c r="A138" s="360" t="s">
        <v>75</v>
      </c>
      <c r="B138" s="360"/>
      <c r="C138" s="360"/>
      <c r="D138" s="360"/>
    </row>
    <row r="139" spans="1:13" ht="15.75" x14ac:dyDescent="0.25">
      <c r="A139" s="356" t="s">
        <v>111</v>
      </c>
      <c r="B139" s="357"/>
      <c r="C139" s="356" t="s">
        <v>77</v>
      </c>
      <c r="D139" s="357"/>
      <c r="E139" s="7"/>
    </row>
    <row r="140" spans="1:13" ht="15.75" x14ac:dyDescent="0.25">
      <c r="A140" s="323" t="s">
        <v>103</v>
      </c>
      <c r="B140" s="324"/>
      <c r="C140" s="46"/>
      <c r="D140" s="203"/>
      <c r="E140" s="218"/>
    </row>
    <row r="141" spans="1:13" ht="15.75" x14ac:dyDescent="0.25">
      <c r="A141" s="354" t="s">
        <v>102</v>
      </c>
      <c r="B141" s="355"/>
      <c r="C141" s="46">
        <v>57875500</v>
      </c>
      <c r="D141" s="204"/>
      <c r="E141" s="219"/>
    </row>
    <row r="142" spans="1:13" ht="15.75" x14ac:dyDescent="0.25">
      <c r="A142" s="415" t="s">
        <v>371</v>
      </c>
      <c r="B142" s="416"/>
      <c r="C142" s="46">
        <v>317000</v>
      </c>
      <c r="D142" s="204"/>
      <c r="E142" s="219"/>
    </row>
    <row r="143" spans="1:13" ht="15.75" x14ac:dyDescent="0.25">
      <c r="A143" s="356" t="s">
        <v>104</v>
      </c>
      <c r="B143" s="357"/>
      <c r="C143" s="46"/>
      <c r="D143" s="203">
        <v>58192500</v>
      </c>
      <c r="E143" s="219"/>
    </row>
    <row r="144" spans="1:13" ht="15.75" x14ac:dyDescent="0.25">
      <c r="A144" s="350" t="s">
        <v>106</v>
      </c>
      <c r="B144" s="351"/>
      <c r="C144" s="46"/>
      <c r="D144" s="204">
        <v>46164300</v>
      </c>
      <c r="E144" s="219"/>
      <c r="F144" s="220"/>
      <c r="G144" s="220"/>
      <c r="H144" s="221"/>
      <c r="I144" s="222"/>
    </row>
    <row r="145" spans="1:12" ht="15.75" x14ac:dyDescent="0.25">
      <c r="A145" s="400" t="s">
        <v>162</v>
      </c>
      <c r="B145" s="401"/>
      <c r="C145" s="49"/>
      <c r="D145" s="205">
        <f>(D143-D144)</f>
        <v>12028200</v>
      </c>
      <c r="F145" s="7"/>
      <c r="G145" s="7"/>
      <c r="I145" s="186"/>
      <c r="L145" s="183"/>
    </row>
    <row r="146" spans="1:12" ht="15.75" x14ac:dyDescent="0.25">
      <c r="A146" s="346" t="s">
        <v>105</v>
      </c>
      <c r="B146" s="347"/>
      <c r="C146" s="46"/>
      <c r="D146" s="207"/>
      <c r="I146" s="186"/>
      <c r="L146" s="183"/>
    </row>
    <row r="147" spans="1:12" ht="15.75" x14ac:dyDescent="0.25">
      <c r="A147" s="348" t="s">
        <v>97</v>
      </c>
      <c r="B147" s="349"/>
      <c r="C147" s="46">
        <v>4500000</v>
      </c>
      <c r="D147" s="204"/>
      <c r="I147" s="187"/>
      <c r="L147" s="183"/>
    </row>
    <row r="148" spans="1:12" ht="15.75" x14ac:dyDescent="0.25">
      <c r="A148" s="350" t="s">
        <v>98</v>
      </c>
      <c r="B148" s="351"/>
      <c r="C148" s="46">
        <v>500000</v>
      </c>
      <c r="D148" s="204"/>
      <c r="L148" s="183"/>
    </row>
    <row r="149" spans="1:12" ht="15.75" x14ac:dyDescent="0.25">
      <c r="A149" s="350" t="s">
        <v>287</v>
      </c>
      <c r="B149" s="351"/>
      <c r="C149" s="46">
        <v>100000</v>
      </c>
      <c r="D149" s="204"/>
      <c r="L149" s="183"/>
    </row>
    <row r="150" spans="1:12" ht="15.75" x14ac:dyDescent="0.25">
      <c r="A150" s="411" t="s">
        <v>373</v>
      </c>
      <c r="B150" s="412"/>
      <c r="C150" s="46">
        <v>800000</v>
      </c>
      <c r="D150" s="204"/>
      <c r="L150" s="183"/>
    </row>
    <row r="151" spans="1:12" ht="15.75" x14ac:dyDescent="0.25">
      <c r="A151" s="350" t="s">
        <v>372</v>
      </c>
      <c r="B151" s="410"/>
      <c r="C151" s="46">
        <v>60000</v>
      </c>
      <c r="D151" s="204"/>
      <c r="L151" s="183"/>
    </row>
    <row r="152" spans="1:12" ht="15.75" x14ac:dyDescent="0.25">
      <c r="A152" s="408" t="s">
        <v>288</v>
      </c>
      <c r="B152" s="409"/>
      <c r="C152" s="114">
        <v>123000</v>
      </c>
      <c r="D152" s="208"/>
    </row>
    <row r="153" spans="1:12" ht="15.75" x14ac:dyDescent="0.25">
      <c r="A153" s="352" t="s">
        <v>107</v>
      </c>
      <c r="B153" s="353"/>
      <c r="C153" s="51" t="s">
        <v>117</v>
      </c>
      <c r="D153" s="209">
        <f>SUM(C147:C152)</f>
        <v>6083000</v>
      </c>
    </row>
    <row r="154" spans="1:12" ht="15.75" x14ac:dyDescent="0.25">
      <c r="A154" s="344" t="s">
        <v>108</v>
      </c>
      <c r="B154" s="345"/>
      <c r="C154" s="51"/>
      <c r="D154" s="204"/>
    </row>
    <row r="155" spans="1:12" ht="15.75" x14ac:dyDescent="0.25">
      <c r="A155" s="346" t="s">
        <v>109</v>
      </c>
      <c r="B155" s="347"/>
      <c r="C155" s="48"/>
      <c r="D155" s="205">
        <f>(D145-D153)</f>
        <v>5945200</v>
      </c>
    </row>
    <row r="157" spans="1:12" ht="15.75" x14ac:dyDescent="0.25">
      <c r="A157" s="341" t="s">
        <v>374</v>
      </c>
      <c r="B157" s="342"/>
      <c r="C157" s="342"/>
      <c r="D157" s="343"/>
    </row>
    <row r="158" spans="1:12" ht="15.75" x14ac:dyDescent="0.25">
      <c r="A158" s="331" t="s">
        <v>375</v>
      </c>
      <c r="B158" s="330"/>
      <c r="C158" s="330"/>
    </row>
    <row r="159" spans="1:12" ht="15.75" x14ac:dyDescent="0.25">
      <c r="A159" s="331"/>
      <c r="B159" s="330"/>
      <c r="C159" s="330"/>
    </row>
    <row r="160" spans="1:12" ht="15.75" x14ac:dyDescent="0.25">
      <c r="A160" s="331"/>
      <c r="B160" s="330"/>
      <c r="C160" s="330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</sheetData>
  <mergeCells count="30">
    <mergeCell ref="A137:D137"/>
    <mergeCell ref="A1:N1"/>
    <mergeCell ref="A2:N2"/>
    <mergeCell ref="A97:E97"/>
    <mergeCell ref="E99:J99"/>
    <mergeCell ref="G100:H100"/>
    <mergeCell ref="G102:I102"/>
    <mergeCell ref="A104:A105"/>
    <mergeCell ref="B104:C104"/>
    <mergeCell ref="G104:I104"/>
    <mergeCell ref="G105:I105"/>
    <mergeCell ref="A136:D136"/>
    <mergeCell ref="A138:D138"/>
    <mergeCell ref="A139:B139"/>
    <mergeCell ref="C139:D139"/>
    <mergeCell ref="A141:B141"/>
    <mergeCell ref="A143:B143"/>
    <mergeCell ref="A152:B152"/>
    <mergeCell ref="A153:B153"/>
    <mergeCell ref="A154:B154"/>
    <mergeCell ref="A155:B155"/>
    <mergeCell ref="A142:B142"/>
    <mergeCell ref="A150:B150"/>
    <mergeCell ref="A145:B145"/>
    <mergeCell ref="A146:B146"/>
    <mergeCell ref="A147:B147"/>
    <mergeCell ref="A148:B148"/>
    <mergeCell ref="A149:B149"/>
    <mergeCell ref="A151:B151"/>
    <mergeCell ref="A144:B144"/>
  </mergeCells>
  <pageMargins left="0.7" right="0.7" top="0.75" bottom="0.75" header="0.3" footer="0.3"/>
  <pageSetup scale="50" fitToHeight="0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topLeftCell="A61" workbookViewId="0">
      <selection activeCell="H5" sqref="H5"/>
    </sheetView>
  </sheetViews>
  <sheetFormatPr defaultRowHeight="15" x14ac:dyDescent="0.25"/>
  <cols>
    <col min="1" max="1" width="9.140625" customWidth="1"/>
    <col min="2" max="2" width="21.140625" customWidth="1"/>
    <col min="3" max="3" width="27.140625" customWidth="1"/>
    <col min="4" max="4" width="23.28515625" customWidth="1"/>
    <col min="5" max="5" width="19.140625" customWidth="1"/>
    <col min="6" max="6" width="10.85546875" customWidth="1"/>
    <col min="7" max="7" width="13.7109375" customWidth="1"/>
    <col min="8" max="8" width="8.8554687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131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15" t="s">
        <v>0</v>
      </c>
      <c r="B4" s="16" t="s">
        <v>1</v>
      </c>
      <c r="C4" s="17" t="s">
        <v>2</v>
      </c>
      <c r="D4" s="16" t="s">
        <v>119</v>
      </c>
      <c r="E4" s="16" t="s">
        <v>3</v>
      </c>
      <c r="F4" s="2" t="s">
        <v>4</v>
      </c>
      <c r="G4" s="2" t="s">
        <v>5</v>
      </c>
      <c r="H4" s="10" t="s">
        <v>6</v>
      </c>
      <c r="I4" s="14" t="s">
        <v>7</v>
      </c>
      <c r="J4" s="14" t="s">
        <v>115</v>
      </c>
      <c r="K4" s="14" t="s">
        <v>92</v>
      </c>
      <c r="L4" s="2" t="s">
        <v>116</v>
      </c>
      <c r="M4" s="2" t="s">
        <v>81</v>
      </c>
      <c r="N4" s="2" t="s">
        <v>72</v>
      </c>
    </row>
    <row r="5" spans="1:14" x14ac:dyDescent="0.25">
      <c r="A5" s="18">
        <v>1</v>
      </c>
      <c r="B5" s="19" t="s">
        <v>27</v>
      </c>
      <c r="C5" s="19" t="s">
        <v>41</v>
      </c>
      <c r="D5" s="20">
        <v>73500</v>
      </c>
      <c r="E5" s="21">
        <v>95000</v>
      </c>
      <c r="F5" s="12">
        <f>Table2423[STOK]-Table2423[TERJUAL]</f>
        <v>66</v>
      </c>
      <c r="G5" s="8">
        <v>33</v>
      </c>
      <c r="H5" s="12">
        <f>Table24232[STOK]-Table24232[TERJUAL]</f>
        <v>33</v>
      </c>
      <c r="I5" s="5">
        <f>(Table24232[HARGA JUAL]*Table24232[TERJUAL])-(Table24232[HARGA POKOK]*Table24232[TERJUAL])</f>
        <v>709500</v>
      </c>
      <c r="J5" s="5">
        <f>(Table24232[HARGA JUAL]*Table24232[TERJUAL])</f>
        <v>3135000</v>
      </c>
      <c r="K5" s="5">
        <f>Table24232[HARGA JUAL]*Table24232[SISA]</f>
        <v>3135000</v>
      </c>
      <c r="L5" s="25">
        <f>Table24232[HARGA POKOK]*Table24232[STOK]</f>
        <v>4851000</v>
      </c>
      <c r="M5" s="25">
        <f>Table24232[HARGA JUAL]*Table24232[STOK]</f>
        <v>6270000</v>
      </c>
    </row>
    <row r="6" spans="1:14" x14ac:dyDescent="0.25">
      <c r="A6" s="22">
        <v>2</v>
      </c>
      <c r="B6" s="19" t="s">
        <v>27</v>
      </c>
      <c r="C6" s="23" t="s">
        <v>42</v>
      </c>
      <c r="D6" s="24">
        <v>58500</v>
      </c>
      <c r="E6" s="24">
        <v>80000</v>
      </c>
      <c r="F6" s="13">
        <f>Table2423[STOK]-Table2423[TERJUAL]</f>
        <v>46</v>
      </c>
      <c r="G6" s="9">
        <v>11</v>
      </c>
      <c r="H6" s="13">
        <f>Table24232[STOK]-Table24232[TERJUAL]</f>
        <v>35</v>
      </c>
      <c r="I6" s="5">
        <f>(Table24232[HARGA JUAL]*Table24232[TERJUAL])-(Table24232[HARGA POKOK]*Table24232[TERJUAL])</f>
        <v>236500</v>
      </c>
      <c r="J6" s="4">
        <f>(Table24232[HARGA JUAL]*Table24232[TERJUAL])</f>
        <v>880000</v>
      </c>
      <c r="K6" s="4">
        <f>Table24232[HARGA JUAL]*Table24232[SISA]</f>
        <v>2800000</v>
      </c>
      <c r="L6" s="25">
        <f>Table24232[HARGA POKOK]*Table24232[STOK]</f>
        <v>2691000</v>
      </c>
      <c r="M6" s="25">
        <f>Table24232[HARGA JUAL]*Table24232[STOK]</f>
        <v>3680000</v>
      </c>
    </row>
    <row r="7" spans="1:14" x14ac:dyDescent="0.25">
      <c r="A7" s="18">
        <v>3</v>
      </c>
      <c r="B7" s="19" t="s">
        <v>27</v>
      </c>
      <c r="C7" s="19" t="s">
        <v>43</v>
      </c>
      <c r="D7" s="21">
        <v>52500</v>
      </c>
      <c r="E7" s="21">
        <v>75000</v>
      </c>
      <c r="F7" s="12">
        <f>Table2423[STOK]-Table2423[TERJUAL]</f>
        <v>39</v>
      </c>
      <c r="G7" s="8">
        <v>2</v>
      </c>
      <c r="H7" s="12">
        <f>Table24232[STOK]-Table24232[TERJUAL]</f>
        <v>37</v>
      </c>
      <c r="I7" s="5">
        <f>(Table24232[HARGA JUAL]*Table24232[TERJUAL])-(Table24232[HARGA POKOK]*Table24232[TERJUAL])</f>
        <v>45000</v>
      </c>
      <c r="J7" s="5">
        <f>(Table24232[HARGA JUAL]*Table24232[TERJUAL])</f>
        <v>150000</v>
      </c>
      <c r="K7" s="5">
        <f>Table24232[HARGA JUAL]*Table24232[SISA]</f>
        <v>2775000</v>
      </c>
      <c r="L7" s="25">
        <f>Table24232[HARGA POKOK]*Table24232[STOK]</f>
        <v>2047500</v>
      </c>
      <c r="M7" s="25">
        <f>Table24232[HARGA JUAL]*Table24232[STOK]</f>
        <v>2925000</v>
      </c>
    </row>
    <row r="8" spans="1:14" x14ac:dyDescent="0.25">
      <c r="A8" s="22">
        <v>4</v>
      </c>
      <c r="B8" s="19" t="s">
        <v>27</v>
      </c>
      <c r="C8" s="19" t="s">
        <v>44</v>
      </c>
      <c r="D8" s="21">
        <v>63500</v>
      </c>
      <c r="E8" s="21">
        <v>80000</v>
      </c>
      <c r="F8" s="12">
        <f>Table2423[STOK]-Table2423[TERJUAL]</f>
        <v>35</v>
      </c>
      <c r="G8" s="8">
        <v>17</v>
      </c>
      <c r="H8" s="12">
        <f>Table24232[STOK]-Table24232[TERJUAL]</f>
        <v>18</v>
      </c>
      <c r="I8" s="5">
        <f>(Table24232[HARGA JUAL]*Table24232[TERJUAL])-(Table24232[HARGA POKOK]*Table24232[TERJUAL])</f>
        <v>280500</v>
      </c>
      <c r="J8" s="5">
        <f>(Table24232[HARGA JUAL]*Table24232[TERJUAL])</f>
        <v>1360000</v>
      </c>
      <c r="K8" s="5">
        <f>Table24232[HARGA JUAL]*Table24232[SISA]</f>
        <v>1440000</v>
      </c>
      <c r="L8" s="25">
        <f>Table24232[HARGA POKOK]*Table24232[STOK]</f>
        <v>2222500</v>
      </c>
      <c r="M8" s="25">
        <f>Table24232[HARGA JUAL]*Table24232[STOK]</f>
        <v>2800000</v>
      </c>
    </row>
    <row r="9" spans="1:14" x14ac:dyDescent="0.25">
      <c r="A9" s="18">
        <v>5</v>
      </c>
      <c r="B9" s="19" t="s">
        <v>27</v>
      </c>
      <c r="C9" s="19" t="s">
        <v>45</v>
      </c>
      <c r="D9" s="21">
        <v>58500</v>
      </c>
      <c r="E9" s="21">
        <v>80000</v>
      </c>
      <c r="F9" s="12">
        <f>Table2423[STOK]-Table2423[TERJUAL]</f>
        <v>78</v>
      </c>
      <c r="G9" s="8">
        <v>4</v>
      </c>
      <c r="H9" s="12">
        <f>Table24232[STOK]-Table24232[TERJUAL]</f>
        <v>74</v>
      </c>
      <c r="I9" s="5">
        <f>(Table24232[HARGA JUAL]*Table24232[TERJUAL])-(Table24232[HARGA POKOK]*Table24232[TERJUAL])</f>
        <v>86000</v>
      </c>
      <c r="J9" s="5">
        <f>(Table24232[HARGA JUAL]*Table24232[TERJUAL])</f>
        <v>320000</v>
      </c>
      <c r="K9" s="5">
        <f>Table24232[HARGA JUAL]*Table24232[SISA]</f>
        <v>5920000</v>
      </c>
      <c r="L9" s="25">
        <f>Table24232[HARGA POKOK]*Table24232[STOK]</f>
        <v>4563000</v>
      </c>
      <c r="M9" s="25">
        <f>Table24232[HARGA JUAL]*Table24232[STOK]</f>
        <v>6240000</v>
      </c>
    </row>
    <row r="10" spans="1:14" x14ac:dyDescent="0.25">
      <c r="A10" s="22">
        <v>6</v>
      </c>
      <c r="B10" s="19" t="s">
        <v>27</v>
      </c>
      <c r="C10" s="19" t="s">
        <v>46</v>
      </c>
      <c r="D10" s="21">
        <v>83500</v>
      </c>
      <c r="E10" s="21">
        <v>110000</v>
      </c>
      <c r="F10" s="12">
        <f>Table2423[STOK]-Table2423[TERJUAL]</f>
        <v>39</v>
      </c>
      <c r="G10" s="8">
        <v>2</v>
      </c>
      <c r="H10" s="12">
        <f>Table24232[STOK]-Table24232[TERJUAL]</f>
        <v>37</v>
      </c>
      <c r="I10" s="5">
        <f>(Table24232[HARGA JUAL]*Table24232[TERJUAL])-(Table24232[HARGA POKOK]*Table24232[TERJUAL])</f>
        <v>53000</v>
      </c>
      <c r="J10" s="5">
        <f>(Table24232[HARGA JUAL]*Table24232[TERJUAL])</f>
        <v>220000</v>
      </c>
      <c r="K10" s="5">
        <f>Table24232[HARGA JUAL]*Table24232[SISA]</f>
        <v>4070000</v>
      </c>
      <c r="L10" s="25">
        <f>Table24232[HARGA POKOK]*Table24232[STOK]</f>
        <v>3256500</v>
      </c>
      <c r="M10" s="25">
        <f>Table24232[HARGA JUAL]*Table24232[STOK]</f>
        <v>4290000</v>
      </c>
    </row>
    <row r="11" spans="1:14" x14ac:dyDescent="0.25">
      <c r="A11" s="18">
        <v>7</v>
      </c>
      <c r="B11" s="19" t="s">
        <v>28</v>
      </c>
      <c r="C11" s="19" t="s">
        <v>38</v>
      </c>
      <c r="D11" s="21">
        <v>88500</v>
      </c>
      <c r="E11" s="21">
        <v>115000</v>
      </c>
      <c r="F11" s="12">
        <f>Table2423[STOK]-Table2423[TERJUAL]</f>
        <v>18</v>
      </c>
      <c r="G11" s="8"/>
      <c r="H11" s="12">
        <f>Table24232[STOK]-Table24232[TERJUAL]</f>
        <v>18</v>
      </c>
      <c r="I11" s="5">
        <f>(Table24232[HARGA JUAL]*Table24232[TERJUAL])-(Table24232[HARGA POKOK]*Table24232[TERJUAL])</f>
        <v>0</v>
      </c>
      <c r="J11" s="5">
        <f>(Table24232[HARGA JUAL]*Table24232[TERJUAL])</f>
        <v>0</v>
      </c>
      <c r="K11" s="5">
        <f>Table24232[HARGA JUAL]*Table24232[SISA]</f>
        <v>2070000</v>
      </c>
      <c r="L11" s="25">
        <f>Table24232[HARGA POKOK]*Table24232[STOK]</f>
        <v>1593000</v>
      </c>
      <c r="M11" s="25">
        <f>Table24232[HARGA JUAL]*Table24232[STOK]</f>
        <v>2070000</v>
      </c>
    </row>
    <row r="12" spans="1:14" x14ac:dyDescent="0.25">
      <c r="A12" s="22">
        <v>8</v>
      </c>
      <c r="B12" s="23" t="s">
        <v>28</v>
      </c>
      <c r="C12" s="23" t="s">
        <v>10</v>
      </c>
      <c r="D12" s="24">
        <v>84500</v>
      </c>
      <c r="E12" s="24">
        <v>90000</v>
      </c>
      <c r="F12" s="13">
        <f>Table2423[STOK]-Table2423[TERJUAL]</f>
        <v>58</v>
      </c>
      <c r="G12" s="9">
        <v>10</v>
      </c>
      <c r="H12" s="13">
        <f>Table24232[STOK]-Table24232[TERJUAL]</f>
        <v>48</v>
      </c>
      <c r="I12" s="5">
        <f>(Table24232[HARGA JUAL]*Table24232[TERJUAL])-(Table24232[HARGA POKOK]*Table24232[TERJUAL])</f>
        <v>55000</v>
      </c>
      <c r="J12" s="4">
        <f>(Table24232[HARGA JUAL]*Table24232[TERJUAL])</f>
        <v>900000</v>
      </c>
      <c r="K12" s="4">
        <f>Table24232[HARGA JUAL]*Table24232[SISA]</f>
        <v>4320000</v>
      </c>
      <c r="L12" s="25">
        <f>Table24232[HARGA POKOK]*Table24232[STOK]</f>
        <v>4901000</v>
      </c>
      <c r="M12" s="25">
        <f>Table24232[HARGA JUAL]*Table24232[STOK]</f>
        <v>5220000</v>
      </c>
    </row>
    <row r="13" spans="1:14" x14ac:dyDescent="0.25">
      <c r="A13" s="18">
        <v>9</v>
      </c>
      <c r="B13" s="23" t="s">
        <v>28</v>
      </c>
      <c r="C13" s="19" t="s">
        <v>11</v>
      </c>
      <c r="D13" s="21">
        <v>158000</v>
      </c>
      <c r="E13" s="21">
        <v>180000</v>
      </c>
      <c r="F13" s="12"/>
      <c r="G13" s="8"/>
      <c r="H13" s="12">
        <f>Table24232[STOK]-Table24232[TERJUAL]</f>
        <v>0</v>
      </c>
      <c r="I13" s="5">
        <f>(Table24232[HARGA JUAL]*Table24232[TERJUAL])-(Table24232[HARGA POKOK]*Table24232[TERJUAL])</f>
        <v>0</v>
      </c>
      <c r="J13" s="5">
        <f>(Table24232[HARGA JUAL]*Table24232[TERJUAL])</f>
        <v>0</v>
      </c>
      <c r="K13" s="5">
        <f>Table24232[HARGA JUAL]*Table24232[SISA]</f>
        <v>0</v>
      </c>
      <c r="L13" s="25">
        <f>Table24232[HARGA POKOK]*Table24232[STOK]</f>
        <v>0</v>
      </c>
      <c r="M13" s="25">
        <f>Table24232[HARGA JUAL]*Table24232[STOK]</f>
        <v>0</v>
      </c>
    </row>
    <row r="14" spans="1:14" x14ac:dyDescent="0.25">
      <c r="A14" s="22">
        <v>10</v>
      </c>
      <c r="B14" s="23" t="s">
        <v>28</v>
      </c>
      <c r="C14" s="19" t="s">
        <v>12</v>
      </c>
      <c r="D14" s="21">
        <v>133000</v>
      </c>
      <c r="E14" s="21">
        <v>165000</v>
      </c>
      <c r="F14" s="12">
        <f>Table2423[STOK]-Table2423[TERJUAL]</f>
        <v>87</v>
      </c>
      <c r="G14" s="8">
        <v>1</v>
      </c>
      <c r="H14" s="12">
        <f>Table24232[STOK]-Table24232[TERJUAL]</f>
        <v>86</v>
      </c>
      <c r="I14" s="5">
        <f>(Table24232[HARGA JUAL]*Table24232[TERJUAL])-(Table24232[HARGA POKOK]*Table24232[TERJUAL])</f>
        <v>32000</v>
      </c>
      <c r="J14" s="5">
        <f>(Table24232[HARGA JUAL]*Table24232[TERJUAL])</f>
        <v>165000</v>
      </c>
      <c r="K14" s="5">
        <f>Table24232[HARGA JUAL]*Table24232[SISA]</f>
        <v>14190000</v>
      </c>
      <c r="L14" s="25">
        <f>Table24232[HARGA POKOK]*Table24232[STOK]</f>
        <v>11571000</v>
      </c>
      <c r="M14" s="25">
        <f>Table24232[HARGA JUAL]*Table24232[STOK]</f>
        <v>14355000</v>
      </c>
    </row>
    <row r="15" spans="1:14" x14ac:dyDescent="0.25">
      <c r="A15" s="18">
        <v>11</v>
      </c>
      <c r="B15" s="23" t="s">
        <v>28</v>
      </c>
      <c r="C15" s="19" t="s">
        <v>39</v>
      </c>
      <c r="D15" s="21">
        <v>29500</v>
      </c>
      <c r="E15" s="21">
        <v>40000</v>
      </c>
      <c r="F15" s="12">
        <f>Table2423[STOK]-Table2423[TERJUAL]</f>
        <v>12</v>
      </c>
      <c r="G15" s="8">
        <v>12</v>
      </c>
      <c r="H15" s="12">
        <f>Table24232[STOK]-Table24232[TERJUAL]</f>
        <v>0</v>
      </c>
      <c r="I15" s="5">
        <f>(Table24232[HARGA JUAL]*Table24232[TERJUAL])-(Table24232[HARGA POKOK]*Table24232[TERJUAL])</f>
        <v>126000</v>
      </c>
      <c r="J15" s="5">
        <f>(Table24232[HARGA JUAL]*Table24232[TERJUAL])</f>
        <v>480000</v>
      </c>
      <c r="K15" s="5">
        <f>Table24232[HARGA JUAL]*Table24232[SISA]</f>
        <v>0</v>
      </c>
      <c r="L15" s="25">
        <f>Table24232[HARGA POKOK]*Table24232[STOK]</f>
        <v>354000</v>
      </c>
      <c r="M15" s="25">
        <f>Table24232[HARGA JUAL]*Table24232[STOK]</f>
        <v>480000</v>
      </c>
    </row>
    <row r="16" spans="1:14" x14ac:dyDescent="0.25">
      <c r="A16" s="22">
        <v>12</v>
      </c>
      <c r="B16" s="23" t="s">
        <v>28</v>
      </c>
      <c r="C16" s="19" t="s">
        <v>47</v>
      </c>
      <c r="D16" s="21">
        <v>66000</v>
      </c>
      <c r="E16" s="21">
        <v>85000</v>
      </c>
      <c r="F16" s="12">
        <f>Table2423[STOK]-Table2423[TERJUAL]</f>
        <v>69</v>
      </c>
      <c r="G16" s="8">
        <v>2</v>
      </c>
      <c r="H16" s="12">
        <f>Table24232[STOK]-Table24232[TERJUAL]</f>
        <v>67</v>
      </c>
      <c r="I16" s="5">
        <f>(Table24232[HARGA JUAL]*Table24232[TERJUAL])-(Table24232[HARGA POKOK]*Table24232[TERJUAL])</f>
        <v>38000</v>
      </c>
      <c r="J16" s="5">
        <f>(Table24232[HARGA JUAL]*Table24232[TERJUAL])</f>
        <v>170000</v>
      </c>
      <c r="K16" s="5">
        <f>Table24232[HARGA JUAL]*Table24232[SISA]</f>
        <v>5695000</v>
      </c>
      <c r="L16" s="25">
        <f>Table24232[HARGA POKOK]*Table24232[STOK]</f>
        <v>4554000</v>
      </c>
      <c r="M16" s="25">
        <f>Table24232[HARGA JUAL]*Table24232[STOK]</f>
        <v>5865000</v>
      </c>
    </row>
    <row r="17" spans="1:13" x14ac:dyDescent="0.25">
      <c r="A17" s="18">
        <v>13</v>
      </c>
      <c r="B17" s="23" t="s">
        <v>28</v>
      </c>
      <c r="C17" s="19" t="s">
        <v>48</v>
      </c>
      <c r="D17" s="21">
        <v>22500</v>
      </c>
      <c r="E17" s="21">
        <v>33000</v>
      </c>
      <c r="F17" s="12">
        <f>Table2423[STOK]-Table2423[TERJUAL]</f>
        <v>398</v>
      </c>
      <c r="G17" s="8">
        <v>1</v>
      </c>
      <c r="H17" s="12">
        <f>Table24232[STOK]-Table24232[TERJUAL]</f>
        <v>397</v>
      </c>
      <c r="I17" s="5">
        <f>(Table24232[HARGA JUAL]*Table24232[TERJUAL])-(Table24232[HARGA POKOK]*Table24232[TERJUAL])</f>
        <v>10500</v>
      </c>
      <c r="J17" s="5">
        <f>(Table24232[HARGA JUAL]*Table24232[TERJUAL])</f>
        <v>33000</v>
      </c>
      <c r="K17" s="5">
        <f>Table24232[HARGA JUAL]*Table24232[SISA]</f>
        <v>13101000</v>
      </c>
      <c r="L17" s="25">
        <f>Table24232[HARGA POKOK]*Table24232[STOK]</f>
        <v>8955000</v>
      </c>
      <c r="M17" s="25">
        <f>Table24232[HARGA JUAL]*Table24232[STOK]</f>
        <v>13134000</v>
      </c>
    </row>
    <row r="18" spans="1:13" x14ac:dyDescent="0.25">
      <c r="A18" s="22">
        <v>14</v>
      </c>
      <c r="B18" s="23" t="s">
        <v>28</v>
      </c>
      <c r="C18" s="19" t="s">
        <v>49</v>
      </c>
      <c r="D18" s="21">
        <v>56000</v>
      </c>
      <c r="E18" s="21">
        <v>80000</v>
      </c>
      <c r="F18" s="12">
        <f>Table2423[STOK]-Table2423[TERJUAL]</f>
        <v>86</v>
      </c>
      <c r="G18" s="8">
        <v>4</v>
      </c>
      <c r="H18" s="12">
        <f>Table24232[STOK]-Table24232[TERJUAL]</f>
        <v>82</v>
      </c>
      <c r="I18" s="5">
        <f>(Table24232[HARGA JUAL]*Table24232[TERJUAL])-(Table24232[HARGA POKOK]*Table24232[TERJUAL])</f>
        <v>96000</v>
      </c>
      <c r="J18" s="5">
        <f>(Table24232[HARGA JUAL]*Table24232[TERJUAL])</f>
        <v>320000</v>
      </c>
      <c r="K18" s="5">
        <f>Table24232[HARGA JUAL]*Table24232[SISA]</f>
        <v>6560000</v>
      </c>
      <c r="L18" s="25">
        <f>Table24232[HARGA POKOK]*Table24232[STOK]</f>
        <v>4816000</v>
      </c>
      <c r="M18" s="25">
        <f>Table24232[HARGA JUAL]*Table24232[STOK]</f>
        <v>6880000</v>
      </c>
    </row>
    <row r="19" spans="1:13" x14ac:dyDescent="0.25">
      <c r="A19" s="18">
        <v>15</v>
      </c>
      <c r="B19" s="23" t="s">
        <v>28</v>
      </c>
      <c r="C19" s="19" t="s">
        <v>50</v>
      </c>
      <c r="D19" s="21">
        <v>40000</v>
      </c>
      <c r="E19" s="21">
        <v>60000</v>
      </c>
      <c r="F19" s="12">
        <f>Table2423[STOK]-Table2423[TERJUAL]</f>
        <v>16</v>
      </c>
      <c r="G19" s="8">
        <v>4</v>
      </c>
      <c r="H19" s="12">
        <f>Table24232[STOK]-Table24232[TERJUAL]</f>
        <v>12</v>
      </c>
      <c r="I19" s="5">
        <f>(Table24232[HARGA JUAL]*Table24232[TERJUAL])-(Table24232[HARGA POKOK]*Table24232[TERJUAL])</f>
        <v>80000</v>
      </c>
      <c r="J19" s="5">
        <f>(Table24232[HARGA JUAL]*Table24232[TERJUAL])</f>
        <v>240000</v>
      </c>
      <c r="K19" s="5">
        <f>Table24232[HARGA JUAL]*Table24232[SISA]</f>
        <v>720000</v>
      </c>
      <c r="L19" s="25">
        <f>Table24232[HARGA POKOK]*Table24232[STOK]</f>
        <v>640000</v>
      </c>
      <c r="M19" s="25">
        <f>Table24232[HARGA JUAL]*Table24232[STOK]</f>
        <v>960000</v>
      </c>
    </row>
    <row r="20" spans="1:13" x14ac:dyDescent="0.25">
      <c r="A20" s="22">
        <v>16</v>
      </c>
      <c r="B20" s="23" t="s">
        <v>28</v>
      </c>
      <c r="C20" s="19" t="s">
        <v>51</v>
      </c>
      <c r="D20" s="21">
        <v>60000</v>
      </c>
      <c r="E20" s="21">
        <v>80000</v>
      </c>
      <c r="F20" s="12">
        <f>Table2423[STOK]-Table2423[TERJUAL]</f>
        <v>79</v>
      </c>
      <c r="G20" s="8">
        <v>2</v>
      </c>
      <c r="H20" s="12">
        <f>Table24232[STOK]-Table24232[TERJUAL]</f>
        <v>77</v>
      </c>
      <c r="I20" s="5">
        <f>(Table24232[HARGA JUAL]*Table24232[TERJUAL])-(Table24232[HARGA POKOK]*Table24232[TERJUAL])</f>
        <v>40000</v>
      </c>
      <c r="J20" s="5">
        <f>(Table24232[HARGA JUAL]*Table24232[TERJUAL])</f>
        <v>160000</v>
      </c>
      <c r="K20" s="5">
        <f>Table24232[HARGA JUAL]*Table24232[SISA]</f>
        <v>6160000</v>
      </c>
      <c r="L20" s="25">
        <f>Table24232[HARGA POKOK]*Table24232[STOK]</f>
        <v>4740000</v>
      </c>
      <c r="M20" s="25">
        <f>Table24232[HARGA JUAL]*Table24232[STOK]</f>
        <v>6320000</v>
      </c>
    </row>
    <row r="21" spans="1:13" x14ac:dyDescent="0.25">
      <c r="A21" s="18">
        <v>17</v>
      </c>
      <c r="B21" s="23" t="s">
        <v>28</v>
      </c>
      <c r="C21" s="19" t="s">
        <v>52</v>
      </c>
      <c r="D21" s="21">
        <v>30000</v>
      </c>
      <c r="E21" s="21">
        <v>45000</v>
      </c>
      <c r="F21" s="12">
        <f>Table2423[STOK]-Table2423[TERJUAL]</f>
        <v>98</v>
      </c>
      <c r="G21" s="8">
        <v>3</v>
      </c>
      <c r="H21" s="12">
        <f>Table24232[STOK]-Table24232[TERJUAL]</f>
        <v>95</v>
      </c>
      <c r="I21" s="5">
        <f>(Table24232[HARGA JUAL]*Table24232[TERJUAL])-(Table24232[HARGA POKOK]*Table24232[TERJUAL])</f>
        <v>45000</v>
      </c>
      <c r="J21" s="5">
        <f>(Table24232[HARGA JUAL]*Table24232[TERJUAL])</f>
        <v>135000</v>
      </c>
      <c r="K21" s="5">
        <f>Table24232[HARGA JUAL]*Table24232[SISA]</f>
        <v>4275000</v>
      </c>
      <c r="L21" s="25">
        <f>Table24232[HARGA POKOK]*Table24232[STOK]</f>
        <v>2940000</v>
      </c>
      <c r="M21" s="25">
        <f>Table24232[HARGA JUAL]*Table24232[STOK]</f>
        <v>4410000</v>
      </c>
    </row>
    <row r="22" spans="1:13" x14ac:dyDescent="0.25">
      <c r="A22" s="22">
        <v>18</v>
      </c>
      <c r="B22" s="23" t="s">
        <v>28</v>
      </c>
      <c r="C22" s="19" t="s">
        <v>53</v>
      </c>
      <c r="D22" s="21">
        <v>3000</v>
      </c>
      <c r="E22" s="21">
        <v>5000</v>
      </c>
      <c r="F22" s="12">
        <f>Table2423[STOK]-Table2423[TERJUAL]</f>
        <v>19</v>
      </c>
      <c r="G22" s="8"/>
      <c r="H22" s="12">
        <f>Table24232[STOK]-Table24232[TERJUAL]</f>
        <v>19</v>
      </c>
      <c r="I22" s="5">
        <f>(Table24232[HARGA JUAL]*Table24232[TERJUAL])-(Table24232[HARGA POKOK]*Table24232[TERJUAL])</f>
        <v>0</v>
      </c>
      <c r="J22" s="5">
        <f>(Table24232[HARGA JUAL]*Table24232[TERJUAL])</f>
        <v>0</v>
      </c>
      <c r="K22" s="5">
        <f>Table24232[HARGA JUAL]*Table24232[SISA]</f>
        <v>95000</v>
      </c>
      <c r="L22" s="25">
        <f>Table24232[HARGA POKOK]*Table24232[STOK]</f>
        <v>57000</v>
      </c>
      <c r="M22" s="25">
        <f>Table24232[HARGA JUAL]*Table24232[STOK]</f>
        <v>95000</v>
      </c>
    </row>
    <row r="23" spans="1:13" x14ac:dyDescent="0.25">
      <c r="A23" s="18">
        <v>19</v>
      </c>
      <c r="B23" s="19" t="s">
        <v>29</v>
      </c>
      <c r="C23" s="19" t="s">
        <v>54</v>
      </c>
      <c r="D23" s="21">
        <v>47500</v>
      </c>
      <c r="E23" s="21">
        <v>60000</v>
      </c>
      <c r="F23" s="12">
        <f>Table2423[STOK]-Table2423[TERJUAL]</f>
        <v>100</v>
      </c>
      <c r="G23" s="8"/>
      <c r="H23" s="12">
        <f>Table24232[STOK]-Table24232[TERJUAL]</f>
        <v>100</v>
      </c>
      <c r="I23" s="5">
        <f>(Table24232[HARGA JUAL]*Table24232[TERJUAL])-(Table24232[HARGA POKOK]*Table24232[TERJUAL])</f>
        <v>0</v>
      </c>
      <c r="J23" s="5">
        <f>(Table24232[HARGA JUAL]*Table24232[TERJUAL])</f>
        <v>0</v>
      </c>
      <c r="K23" s="5">
        <f>Table24232[HARGA JUAL]*Table24232[SISA]</f>
        <v>6000000</v>
      </c>
      <c r="L23" s="25">
        <f>Table24232[HARGA POKOK]*Table24232[STOK]</f>
        <v>4750000</v>
      </c>
      <c r="M23" s="25">
        <f>Table24232[HARGA JUAL]*Table24232[STOK]</f>
        <v>6000000</v>
      </c>
    </row>
    <row r="24" spans="1:13" x14ac:dyDescent="0.25">
      <c r="A24" s="22">
        <v>20</v>
      </c>
      <c r="B24" s="19" t="s">
        <v>29</v>
      </c>
      <c r="C24" s="19" t="s">
        <v>55</v>
      </c>
      <c r="D24" s="21">
        <v>133500</v>
      </c>
      <c r="E24" s="21">
        <v>143000</v>
      </c>
      <c r="F24" s="12">
        <f>Table2423[STOK]-Table2423[TERJUAL]</f>
        <v>17</v>
      </c>
      <c r="G24" s="8">
        <v>10</v>
      </c>
      <c r="H24" s="12">
        <f>Table24232[STOK]-Table24232[TERJUAL]</f>
        <v>7</v>
      </c>
      <c r="I24" s="5">
        <f>(Table24232[HARGA JUAL]*Table24232[TERJUAL])-(Table24232[HARGA POKOK]*Table24232[TERJUAL])</f>
        <v>95000</v>
      </c>
      <c r="J24" s="5">
        <f>(Table24232[HARGA JUAL]*Table24232[TERJUAL])</f>
        <v>1430000</v>
      </c>
      <c r="K24" s="5">
        <f>Table24232[HARGA JUAL]*Table24232[SISA]</f>
        <v>1001000</v>
      </c>
      <c r="L24" s="25">
        <f>Table24232[HARGA POKOK]*Table24232[STOK]</f>
        <v>2269500</v>
      </c>
      <c r="M24" s="25">
        <f>Table24232[HARGA JUAL]*Table24232[STOK]</f>
        <v>2431000</v>
      </c>
    </row>
    <row r="25" spans="1:13" x14ac:dyDescent="0.25">
      <c r="A25" s="18">
        <v>21</v>
      </c>
      <c r="B25" s="19" t="s">
        <v>29</v>
      </c>
      <c r="C25" s="23" t="s">
        <v>56</v>
      </c>
      <c r="D25" s="24">
        <v>77500</v>
      </c>
      <c r="E25" s="24">
        <v>120000</v>
      </c>
      <c r="F25" s="13">
        <f>Table2423[STOK]-Table2423[TERJUAL]</f>
        <v>40</v>
      </c>
      <c r="G25" s="9">
        <v>6</v>
      </c>
      <c r="H25" s="13">
        <f>Table24232[STOK]-Table24232[TERJUAL]</f>
        <v>34</v>
      </c>
      <c r="I25" s="5">
        <f>(Table24232[HARGA JUAL]*Table24232[TERJUAL])-(Table24232[HARGA POKOK]*Table24232[TERJUAL])</f>
        <v>255000</v>
      </c>
      <c r="J25" s="4">
        <f>(Table24232[HARGA JUAL]*Table24232[TERJUAL])</f>
        <v>720000</v>
      </c>
      <c r="K25" s="4">
        <f>Table24232[HARGA JUAL]*Table24232[SISA]</f>
        <v>4080000</v>
      </c>
      <c r="L25" s="25">
        <f>Table24232[HARGA POKOK]*Table24232[STOK]</f>
        <v>3100000</v>
      </c>
      <c r="M25" s="25">
        <f>Table24232[HARGA JUAL]*Table24232[STOK]</f>
        <v>4800000</v>
      </c>
    </row>
    <row r="26" spans="1:13" x14ac:dyDescent="0.25">
      <c r="A26" s="22">
        <v>22</v>
      </c>
      <c r="B26" s="19" t="s">
        <v>29</v>
      </c>
      <c r="C26" s="19" t="s">
        <v>57</v>
      </c>
      <c r="D26" s="21">
        <v>165000</v>
      </c>
      <c r="E26" s="21">
        <v>195000</v>
      </c>
      <c r="F26" s="12">
        <f>Table2423[STOK]-Table2423[TERJUAL]</f>
        <v>39</v>
      </c>
      <c r="G26" s="8"/>
      <c r="H26" s="12">
        <f>Table24232[STOK]-Table24232[TERJUAL]</f>
        <v>39</v>
      </c>
      <c r="I26" s="5">
        <f>(Table24232[HARGA JUAL]*Table24232[TERJUAL])-(Table24232[HARGA POKOK]*Table24232[TERJUAL])</f>
        <v>0</v>
      </c>
      <c r="J26" s="5">
        <f>(Table24232[HARGA JUAL]*Table24232[TERJUAL])</f>
        <v>0</v>
      </c>
      <c r="K26" s="5">
        <f>Table24232[HARGA JUAL]*Table24232[SISA]</f>
        <v>7605000</v>
      </c>
      <c r="L26" s="25">
        <f>Table24232[HARGA POKOK]*Table24232[STOK]</f>
        <v>6435000</v>
      </c>
      <c r="M26" s="25">
        <f>Table24232[HARGA JUAL]*Table24232[STOK]</f>
        <v>7605000</v>
      </c>
    </row>
    <row r="27" spans="1:13" x14ac:dyDescent="0.25">
      <c r="A27" s="18">
        <v>23</v>
      </c>
      <c r="B27" s="19" t="s">
        <v>30</v>
      </c>
      <c r="C27" s="19" t="s">
        <v>58</v>
      </c>
      <c r="D27" s="21">
        <v>10000</v>
      </c>
      <c r="E27" s="21">
        <v>18000</v>
      </c>
      <c r="F27" s="12">
        <f>Table2423[STOK]-Table2423[TERJUAL]</f>
        <v>85</v>
      </c>
      <c r="G27" s="8">
        <v>5</v>
      </c>
      <c r="H27" s="12">
        <f>Table24232[STOK]-Table24232[TERJUAL]</f>
        <v>80</v>
      </c>
      <c r="I27" s="5">
        <f>(Table24232[HARGA JUAL]*Table24232[TERJUAL])-(Table24232[HARGA POKOK]*Table24232[TERJUAL])</f>
        <v>40000</v>
      </c>
      <c r="J27" s="5">
        <f>(Table24232[HARGA JUAL]*Table24232[TERJUAL])</f>
        <v>90000</v>
      </c>
      <c r="K27" s="5">
        <f>Table24232[HARGA JUAL]*Table24232[SISA]</f>
        <v>1440000</v>
      </c>
      <c r="L27" s="25">
        <f>Table24232[HARGA POKOK]*Table24232[STOK]</f>
        <v>850000</v>
      </c>
      <c r="M27" s="25">
        <f>Table24232[HARGA JUAL]*Table24232[STOK]</f>
        <v>1530000</v>
      </c>
    </row>
    <row r="28" spans="1:13" x14ac:dyDescent="0.25">
      <c r="A28" s="22">
        <v>24</v>
      </c>
      <c r="B28" s="19" t="s">
        <v>30</v>
      </c>
      <c r="C28" s="19" t="s">
        <v>59</v>
      </c>
      <c r="D28" s="21">
        <v>27500</v>
      </c>
      <c r="E28" s="21">
        <v>45000</v>
      </c>
      <c r="F28" s="12">
        <f>Table2423[STOK]-Table2423[TERJUAL]</f>
        <v>40</v>
      </c>
      <c r="G28" s="8"/>
      <c r="H28" s="12">
        <f>Table24232[STOK]-Table24232[TERJUAL]</f>
        <v>40</v>
      </c>
      <c r="I28" s="5">
        <f>(Table24232[HARGA JUAL]*Table24232[TERJUAL])-(Table24232[HARGA POKOK]*Table24232[TERJUAL])</f>
        <v>0</v>
      </c>
      <c r="J28" s="5">
        <f>(Table24232[HARGA JUAL]*Table24232[TERJUAL])</f>
        <v>0</v>
      </c>
      <c r="K28" s="5">
        <f>Table24232[HARGA JUAL]*Table24232[SISA]</f>
        <v>1800000</v>
      </c>
      <c r="L28" s="25">
        <f>Table24232[HARGA POKOK]*Table24232[STOK]</f>
        <v>1100000</v>
      </c>
      <c r="M28" s="25">
        <f>Table24232[HARGA JUAL]*Table24232[STOK]</f>
        <v>1800000</v>
      </c>
    </row>
    <row r="29" spans="1:13" x14ac:dyDescent="0.25">
      <c r="A29" s="18">
        <v>25</v>
      </c>
      <c r="B29" s="19" t="s">
        <v>30</v>
      </c>
      <c r="C29" s="19" t="s">
        <v>60</v>
      </c>
      <c r="D29" s="21">
        <v>12500</v>
      </c>
      <c r="E29" s="21">
        <v>16000</v>
      </c>
      <c r="F29" s="12">
        <f>Table2423[STOK]-Table2423[TERJUAL]</f>
        <v>62</v>
      </c>
      <c r="G29" s="8">
        <v>19</v>
      </c>
      <c r="H29" s="12">
        <f>Table24232[STOK]-Table24232[TERJUAL]</f>
        <v>43</v>
      </c>
      <c r="I29" s="5">
        <f>(Table24232[HARGA JUAL]*Table24232[TERJUAL])-(Table24232[HARGA POKOK]*Table24232[TERJUAL])</f>
        <v>66500</v>
      </c>
      <c r="J29" s="5">
        <f>(Table24232[HARGA JUAL]*Table24232[TERJUAL])</f>
        <v>304000</v>
      </c>
      <c r="K29" s="5">
        <f>Table24232[HARGA JUAL]*Table24232[SISA]</f>
        <v>688000</v>
      </c>
      <c r="L29" s="25">
        <f>Table24232[HARGA POKOK]*Table24232[STOK]</f>
        <v>775000</v>
      </c>
      <c r="M29" s="25">
        <f>Table24232[HARGA JUAL]*Table24232[STOK]</f>
        <v>992000</v>
      </c>
    </row>
    <row r="30" spans="1:13" x14ac:dyDescent="0.25">
      <c r="A30" s="22">
        <v>26</v>
      </c>
      <c r="B30" s="19" t="s">
        <v>30</v>
      </c>
      <c r="C30" s="19" t="s">
        <v>13</v>
      </c>
      <c r="D30" s="21">
        <v>33500</v>
      </c>
      <c r="E30" s="21">
        <v>50000</v>
      </c>
      <c r="F30" s="12">
        <f>Table2423[STOK]-Table2423[TERJUAL]</f>
        <v>43</v>
      </c>
      <c r="G30" s="8">
        <v>4</v>
      </c>
      <c r="H30" s="12">
        <f>Table24232[STOK]-Table24232[TERJUAL]</f>
        <v>39</v>
      </c>
      <c r="I30" s="5">
        <f>(Table24232[HARGA JUAL]*Table24232[TERJUAL])-(Table24232[HARGA POKOK]*Table24232[TERJUAL])</f>
        <v>66000</v>
      </c>
      <c r="J30" s="5">
        <f>(Table24232[HARGA JUAL]*Table24232[TERJUAL])</f>
        <v>200000</v>
      </c>
      <c r="K30" s="5">
        <f>Table24232[HARGA JUAL]*Table24232[SISA]</f>
        <v>1950000</v>
      </c>
      <c r="L30" s="25">
        <f>Table24232[HARGA POKOK]*Table24232[STOK]</f>
        <v>1440500</v>
      </c>
      <c r="M30" s="25">
        <f>Table24232[HARGA JUAL]*Table24232[STOK]</f>
        <v>2150000</v>
      </c>
    </row>
    <row r="31" spans="1:13" x14ac:dyDescent="0.25">
      <c r="A31" s="18">
        <v>27</v>
      </c>
      <c r="B31" s="19" t="s">
        <v>30</v>
      </c>
      <c r="C31" s="19" t="s">
        <v>14</v>
      </c>
      <c r="D31" s="21">
        <v>8500</v>
      </c>
      <c r="E31" s="21">
        <v>12000</v>
      </c>
      <c r="F31" s="12">
        <f>Table2423[STOK]-Table2423[TERJUAL]</f>
        <v>283</v>
      </c>
      <c r="G31" s="8">
        <v>4</v>
      </c>
      <c r="H31" s="12">
        <f>Table24232[STOK]-Table24232[TERJUAL]</f>
        <v>279</v>
      </c>
      <c r="I31" s="5">
        <f>(Table24232[HARGA JUAL]*Table24232[TERJUAL])-(Table24232[HARGA POKOK]*Table24232[TERJUAL])</f>
        <v>14000</v>
      </c>
      <c r="J31" s="5">
        <f>(Table24232[HARGA JUAL]*Table24232[TERJUAL])</f>
        <v>48000</v>
      </c>
      <c r="K31" s="5">
        <f>Table24232[HARGA JUAL]*Table24232[SISA]</f>
        <v>3348000</v>
      </c>
      <c r="L31" s="25">
        <f>Table24232[HARGA POKOK]*Table24232[STOK]</f>
        <v>2405500</v>
      </c>
      <c r="M31" s="25">
        <f>Table24232[HARGA JUAL]*Table24232[STOK]</f>
        <v>3396000</v>
      </c>
    </row>
    <row r="32" spans="1:13" x14ac:dyDescent="0.25">
      <c r="A32" s="22">
        <v>28</v>
      </c>
      <c r="B32" s="19" t="s">
        <v>30</v>
      </c>
      <c r="C32" s="19" t="s">
        <v>15</v>
      </c>
      <c r="D32" s="21">
        <v>30500</v>
      </c>
      <c r="E32" s="21">
        <v>45000</v>
      </c>
      <c r="F32" s="12">
        <f>Table2423[STOK]-Table2423[TERJUAL]</f>
        <v>45</v>
      </c>
      <c r="G32" s="8">
        <v>3</v>
      </c>
      <c r="H32" s="12">
        <f>Table24232[STOK]-Table24232[TERJUAL]</f>
        <v>42</v>
      </c>
      <c r="I32" s="5">
        <f>(Table24232[HARGA JUAL]*Table24232[TERJUAL])-(Table24232[HARGA POKOK]*Table24232[TERJUAL])</f>
        <v>43500</v>
      </c>
      <c r="J32" s="5">
        <f>(Table24232[HARGA JUAL]*Table24232[TERJUAL])</f>
        <v>135000</v>
      </c>
      <c r="K32" s="5">
        <f>Table24232[HARGA JUAL]*Table24232[SISA]</f>
        <v>1890000</v>
      </c>
      <c r="L32" s="25">
        <f>Table24232[HARGA POKOK]*Table24232[STOK]</f>
        <v>1372500</v>
      </c>
      <c r="M32" s="25">
        <f>Table24232[HARGA JUAL]*Table24232[STOK]</f>
        <v>2025000</v>
      </c>
    </row>
    <row r="33" spans="1:13" x14ac:dyDescent="0.25">
      <c r="A33" s="18">
        <v>29</v>
      </c>
      <c r="B33" s="19" t="s">
        <v>30</v>
      </c>
      <c r="C33" s="19" t="s">
        <v>16</v>
      </c>
      <c r="D33" s="21">
        <v>7500</v>
      </c>
      <c r="E33" s="21">
        <v>10000</v>
      </c>
      <c r="F33" s="12">
        <f>Table2423[STOK]-Table2423[TERJUAL]</f>
        <v>284</v>
      </c>
      <c r="G33" s="8">
        <v>5</v>
      </c>
      <c r="H33" s="12">
        <f>Table24232[STOK]-Table24232[TERJUAL]</f>
        <v>279</v>
      </c>
      <c r="I33" s="5">
        <f>(Table24232[HARGA JUAL]*Table24232[TERJUAL])-(Table24232[HARGA POKOK]*Table24232[TERJUAL])</f>
        <v>12500</v>
      </c>
      <c r="J33" s="5">
        <f>(Table24232[HARGA JUAL]*Table24232[TERJUAL])</f>
        <v>50000</v>
      </c>
      <c r="K33" s="5">
        <f>Table24232[HARGA JUAL]*Table24232[SISA]</f>
        <v>2790000</v>
      </c>
      <c r="L33" s="25">
        <f>Table24232[HARGA POKOK]*Table24232[STOK]</f>
        <v>2130000</v>
      </c>
      <c r="M33" s="25">
        <f>Table24232[HARGA JUAL]*Table24232[STOK]</f>
        <v>2840000</v>
      </c>
    </row>
    <row r="34" spans="1:13" x14ac:dyDescent="0.25">
      <c r="A34" s="22">
        <v>30</v>
      </c>
      <c r="B34" s="19" t="s">
        <v>35</v>
      </c>
      <c r="C34" s="19" t="s">
        <v>36</v>
      </c>
      <c r="D34" s="21">
        <v>51500</v>
      </c>
      <c r="E34" s="21">
        <v>65000</v>
      </c>
      <c r="F34" s="12">
        <f>Table2423[STOK]-Table2423[TERJUAL]</f>
        <v>11</v>
      </c>
      <c r="G34" s="8">
        <v>2</v>
      </c>
      <c r="H34" s="12">
        <f>Table24232[STOK]-Table24232[TERJUAL]</f>
        <v>9</v>
      </c>
      <c r="I34" s="5">
        <f>(Table24232[HARGA JUAL]*Table24232[TERJUAL])-(Table24232[HARGA POKOK]*Table24232[TERJUAL])</f>
        <v>27000</v>
      </c>
      <c r="J34" s="5">
        <f>(Table24232[HARGA JUAL]*Table24232[TERJUAL])</f>
        <v>130000</v>
      </c>
      <c r="K34" s="5">
        <f>Table24232[HARGA JUAL]*Table24232[SISA]</f>
        <v>585000</v>
      </c>
      <c r="L34" s="25">
        <f>Table24232[HARGA POKOK]*Table24232[STOK]</f>
        <v>566500</v>
      </c>
      <c r="M34" s="25">
        <f>Table24232[HARGA JUAL]*Table24232[STOK]</f>
        <v>715000</v>
      </c>
    </row>
    <row r="35" spans="1:13" x14ac:dyDescent="0.25">
      <c r="A35" s="18">
        <v>31</v>
      </c>
      <c r="B35" s="19" t="s">
        <v>31</v>
      </c>
      <c r="C35" s="19" t="s">
        <v>61</v>
      </c>
      <c r="D35" s="21">
        <v>20000</v>
      </c>
      <c r="E35" s="21">
        <v>30000</v>
      </c>
      <c r="F35" s="12">
        <f>Table2423[STOK]-Table2423[TERJUAL]</f>
        <v>49</v>
      </c>
      <c r="G35" s="8">
        <v>5</v>
      </c>
      <c r="H35" s="12">
        <f>Table24232[STOK]-Table24232[TERJUAL]</f>
        <v>44</v>
      </c>
      <c r="I35" s="5">
        <f>(Table24232[HARGA JUAL]*Table24232[TERJUAL])-(Table24232[HARGA POKOK]*Table24232[TERJUAL])</f>
        <v>50000</v>
      </c>
      <c r="J35" s="5">
        <f>(Table24232[HARGA JUAL]*Table24232[TERJUAL])</f>
        <v>150000</v>
      </c>
      <c r="K35" s="5">
        <f>Table24232[HARGA JUAL]*Table24232[SISA]</f>
        <v>1320000</v>
      </c>
      <c r="L35" s="25">
        <f>Table24232[HARGA POKOK]*Table24232[STOK]</f>
        <v>980000</v>
      </c>
      <c r="M35" s="25">
        <f>Table24232[HARGA JUAL]*Table24232[STOK]</f>
        <v>1470000</v>
      </c>
    </row>
    <row r="36" spans="1:13" x14ac:dyDescent="0.25">
      <c r="A36" s="22">
        <v>32</v>
      </c>
      <c r="B36" s="19" t="s">
        <v>31</v>
      </c>
      <c r="C36" s="19" t="s">
        <v>62</v>
      </c>
      <c r="D36" s="21">
        <v>30000</v>
      </c>
      <c r="E36" s="21">
        <v>40000</v>
      </c>
      <c r="F36" s="12">
        <f>Table2423[STOK]-Table2423[TERJUAL]</f>
        <v>6</v>
      </c>
      <c r="G36" s="8">
        <v>1</v>
      </c>
      <c r="H36" s="12">
        <f>Table24232[STOK]-Table24232[TERJUAL]</f>
        <v>5</v>
      </c>
      <c r="I36" s="5">
        <f>(Table24232[HARGA JUAL]*Table24232[TERJUAL])-(Table24232[HARGA POKOK]*Table24232[TERJUAL])</f>
        <v>10000</v>
      </c>
      <c r="J36" s="5">
        <f>(Table24232[HARGA JUAL]*Table24232[TERJUAL])</f>
        <v>40000</v>
      </c>
      <c r="K36" s="5">
        <f>Table24232[HARGA JUAL]*Table24232[SISA]</f>
        <v>200000</v>
      </c>
      <c r="L36" s="25">
        <f>Table24232[HARGA POKOK]*Table24232[STOK]</f>
        <v>180000</v>
      </c>
      <c r="M36" s="25">
        <f>Table24232[HARGA JUAL]*Table24232[STOK]</f>
        <v>240000</v>
      </c>
    </row>
    <row r="37" spans="1:13" x14ac:dyDescent="0.25">
      <c r="A37" s="18">
        <v>33</v>
      </c>
      <c r="B37" s="19" t="s">
        <v>31</v>
      </c>
      <c r="C37" s="19" t="s">
        <v>63</v>
      </c>
      <c r="D37" s="21">
        <v>30000</v>
      </c>
      <c r="E37" s="21">
        <v>40000</v>
      </c>
      <c r="F37" s="12">
        <f>Table2423[STOK]-Table2423[TERJUAL]</f>
        <v>0</v>
      </c>
      <c r="G37" s="8"/>
      <c r="H37" s="12">
        <f>Table24232[STOK]-Table24232[TERJUAL]</f>
        <v>0</v>
      </c>
      <c r="I37" s="5">
        <f>(Table24232[HARGA JUAL]*Table24232[TERJUAL])-(Table24232[HARGA POKOK]*Table24232[TERJUAL])</f>
        <v>0</v>
      </c>
      <c r="J37" s="5">
        <f>(Table24232[HARGA JUAL]*Table24232[TERJUAL])</f>
        <v>0</v>
      </c>
      <c r="K37" s="5">
        <f>Table24232[HARGA JUAL]*Table24232[SISA]</f>
        <v>0</v>
      </c>
      <c r="L37" s="25">
        <f>Table24232[HARGA POKOK]*Table24232[STOK]</f>
        <v>0</v>
      </c>
      <c r="M37" s="25">
        <f>Table24232[HARGA JUAL]*Table24232[STOK]</f>
        <v>0</v>
      </c>
    </row>
    <row r="38" spans="1:13" x14ac:dyDescent="0.25">
      <c r="A38" s="22">
        <v>34</v>
      </c>
      <c r="B38" s="19" t="s">
        <v>31</v>
      </c>
      <c r="C38" s="19" t="s">
        <v>17</v>
      </c>
      <c r="D38" s="21">
        <v>30000</v>
      </c>
      <c r="E38" s="21">
        <v>40000</v>
      </c>
      <c r="F38" s="12">
        <f>Table2423[STOK]-Table2423[TERJUAL]</f>
        <v>0</v>
      </c>
      <c r="G38" s="8"/>
      <c r="H38" s="12">
        <f>Table24232[STOK]-Table24232[TERJUAL]</f>
        <v>0</v>
      </c>
      <c r="I38" s="5">
        <f>(Table24232[HARGA JUAL]*Table24232[TERJUAL])-(Table24232[HARGA POKOK]*Table24232[TERJUAL])</f>
        <v>0</v>
      </c>
      <c r="J38" s="5">
        <f>(Table24232[HARGA JUAL]*Table24232[TERJUAL])</f>
        <v>0</v>
      </c>
      <c r="K38" s="5">
        <f>Table24232[HARGA JUAL]*Table24232[SISA]</f>
        <v>0</v>
      </c>
      <c r="L38" s="25">
        <f>Table24232[HARGA POKOK]*Table24232[STOK]</f>
        <v>0</v>
      </c>
      <c r="M38" s="25">
        <f>Table24232[HARGA JUAL]*Table24232[STOK]</f>
        <v>0</v>
      </c>
    </row>
    <row r="39" spans="1:13" x14ac:dyDescent="0.25">
      <c r="A39" s="18">
        <v>35</v>
      </c>
      <c r="B39" s="19" t="s">
        <v>31</v>
      </c>
      <c r="C39" s="19" t="s">
        <v>64</v>
      </c>
      <c r="D39" s="21">
        <v>30000</v>
      </c>
      <c r="E39" s="21">
        <v>40000</v>
      </c>
      <c r="F39" s="12">
        <f>Table2423[STOK]-Table2423[TERJUAL]</f>
        <v>7</v>
      </c>
      <c r="G39" s="8">
        <v>3</v>
      </c>
      <c r="H39" s="12">
        <f>Table24232[STOK]-Table24232[TERJUAL]</f>
        <v>4</v>
      </c>
      <c r="I39" s="5">
        <f>(Table24232[HARGA JUAL]*Table24232[TERJUAL])-(Table24232[HARGA POKOK]*Table24232[TERJUAL])</f>
        <v>30000</v>
      </c>
      <c r="J39" s="5">
        <f>(Table24232[HARGA JUAL]*Table24232[TERJUAL])</f>
        <v>120000</v>
      </c>
      <c r="K39" s="5">
        <f>Table24232[HARGA JUAL]*Table24232[SISA]</f>
        <v>160000</v>
      </c>
      <c r="L39" s="25">
        <f>Table24232[HARGA POKOK]*Table24232[STOK]</f>
        <v>210000</v>
      </c>
      <c r="M39" s="25">
        <f>Table24232[HARGA JUAL]*Table24232[STOK]</f>
        <v>280000</v>
      </c>
    </row>
    <row r="40" spans="1:13" x14ac:dyDescent="0.25">
      <c r="A40" s="22">
        <v>36</v>
      </c>
      <c r="B40" s="19" t="s">
        <v>31</v>
      </c>
      <c r="C40" s="19" t="s">
        <v>65</v>
      </c>
      <c r="D40" s="21">
        <v>30000</v>
      </c>
      <c r="E40" s="21">
        <v>40000</v>
      </c>
      <c r="F40" s="12">
        <v>9</v>
      </c>
      <c r="G40" s="8">
        <v>3</v>
      </c>
      <c r="H40" s="12">
        <f>Table24232[STOK]-Table24232[TERJUAL]</f>
        <v>6</v>
      </c>
      <c r="I40" s="5">
        <f>(Table24232[HARGA JUAL]*Table24232[TERJUAL])-(Table24232[HARGA POKOK]*Table24232[TERJUAL])</f>
        <v>30000</v>
      </c>
      <c r="J40" s="5">
        <f>(Table24232[HARGA JUAL]*Table24232[TERJUAL])</f>
        <v>120000</v>
      </c>
      <c r="K40" s="5">
        <f>Table24232[HARGA JUAL]*Table24232[SISA]</f>
        <v>240000</v>
      </c>
      <c r="L40" s="25">
        <f>Table24232[HARGA POKOK]*Table24232[STOK]</f>
        <v>270000</v>
      </c>
      <c r="M40" s="25">
        <f>Table24232[HARGA JUAL]*Table24232[STOK]</f>
        <v>360000</v>
      </c>
    </row>
    <row r="41" spans="1:13" x14ac:dyDescent="0.25">
      <c r="A41" s="18">
        <v>37</v>
      </c>
      <c r="B41" s="19" t="s">
        <v>31</v>
      </c>
      <c r="C41" s="23" t="s">
        <v>66</v>
      </c>
      <c r="D41" s="24">
        <v>30000</v>
      </c>
      <c r="E41" s="24">
        <v>40000</v>
      </c>
      <c r="F41" s="13">
        <f>Table2423[STOK]-Table2423[TERJUAL]</f>
        <v>7</v>
      </c>
      <c r="G41" s="9">
        <v>2</v>
      </c>
      <c r="H41" s="13">
        <f>Table24232[STOK]-Table24232[TERJUAL]</f>
        <v>5</v>
      </c>
      <c r="I41" s="5">
        <f>(Table24232[HARGA JUAL]*Table24232[TERJUAL])-(Table24232[HARGA POKOK]*Table24232[TERJUAL])</f>
        <v>20000</v>
      </c>
      <c r="J41" s="4">
        <f>(Table24232[HARGA JUAL]*Table24232[TERJUAL])</f>
        <v>80000</v>
      </c>
      <c r="K41" s="4">
        <f>Table24232[HARGA JUAL]*Table24232[SISA]</f>
        <v>200000</v>
      </c>
      <c r="L41" s="25">
        <f>Table24232[HARGA POKOK]*Table24232[STOK]</f>
        <v>210000</v>
      </c>
      <c r="M41" s="25">
        <f>Table24232[HARGA JUAL]*Table24232[STOK]</f>
        <v>280000</v>
      </c>
    </row>
    <row r="42" spans="1:13" x14ac:dyDescent="0.25">
      <c r="A42" s="22">
        <v>38</v>
      </c>
      <c r="B42" s="19" t="s">
        <v>31</v>
      </c>
      <c r="C42" s="19" t="s">
        <v>67</v>
      </c>
      <c r="D42" s="21">
        <v>27500</v>
      </c>
      <c r="E42" s="21">
        <v>40000</v>
      </c>
      <c r="F42" s="12">
        <f>Table2423[STOK]-Table2423[TERJUAL]</f>
        <v>87</v>
      </c>
      <c r="G42" s="8">
        <v>4</v>
      </c>
      <c r="H42" s="12">
        <f>Table24232[STOK]-Table24232[TERJUAL]</f>
        <v>83</v>
      </c>
      <c r="I42" s="5">
        <f>(Table24232[HARGA JUAL]*Table24232[TERJUAL])-(Table24232[HARGA POKOK]*Table24232[TERJUAL])</f>
        <v>50000</v>
      </c>
      <c r="J42" s="5">
        <f>(Table24232[HARGA JUAL]*Table24232[TERJUAL])</f>
        <v>160000</v>
      </c>
      <c r="K42" s="5">
        <f>Table24232[HARGA JUAL]*Table24232[SISA]</f>
        <v>3320000</v>
      </c>
      <c r="L42" s="25">
        <f>Table24232[HARGA POKOK]*Table24232[STOK]</f>
        <v>2392500</v>
      </c>
      <c r="M42" s="25">
        <f>Table24232[HARGA JUAL]*Table24232[STOK]</f>
        <v>3480000</v>
      </c>
    </row>
    <row r="43" spans="1:13" x14ac:dyDescent="0.25">
      <c r="A43" s="18">
        <v>39</v>
      </c>
      <c r="B43" s="19" t="s">
        <v>32</v>
      </c>
      <c r="C43" s="19" t="s">
        <v>18</v>
      </c>
      <c r="D43" s="21">
        <v>1700</v>
      </c>
      <c r="E43" s="21">
        <v>5000</v>
      </c>
      <c r="F43" s="12">
        <f>Table2423[STOK]-Table2423[TERJUAL]</f>
        <v>0</v>
      </c>
      <c r="G43" s="8"/>
      <c r="H43" s="12">
        <f>Table24232[STOK]-Table24232[TERJUAL]</f>
        <v>0</v>
      </c>
      <c r="I43" s="5">
        <f>(Table24232[HARGA JUAL]*Table24232[TERJUAL])-(Table24232[HARGA POKOK]*Table24232[TERJUAL])</f>
        <v>0</v>
      </c>
      <c r="J43" s="5">
        <f>(Table24232[HARGA JUAL]*Table24232[TERJUAL])</f>
        <v>0</v>
      </c>
      <c r="K43" s="5">
        <f>Table24232[HARGA JUAL]*Table24232[SISA]</f>
        <v>0</v>
      </c>
      <c r="L43" s="25">
        <f>Table24232[HARGA POKOK]*Table24232[STOK]</f>
        <v>0</v>
      </c>
      <c r="M43" s="25">
        <f>Table24232[HARGA JUAL]*Table24232[STOK]</f>
        <v>0</v>
      </c>
    </row>
    <row r="44" spans="1:13" x14ac:dyDescent="0.25">
      <c r="A44" s="22">
        <v>40</v>
      </c>
      <c r="B44" s="19" t="s">
        <v>32</v>
      </c>
      <c r="C44" s="19" t="s">
        <v>21</v>
      </c>
      <c r="D44" s="21">
        <v>30500</v>
      </c>
      <c r="E44" s="21">
        <v>45000</v>
      </c>
      <c r="F44" s="12">
        <f>Table2423[STOK]-Table2423[TERJUAL]</f>
        <v>2</v>
      </c>
      <c r="G44" s="8">
        <v>1</v>
      </c>
      <c r="H44" s="12">
        <f>Table24232[STOK]-Table24232[TERJUAL]</f>
        <v>1</v>
      </c>
      <c r="I44" s="5">
        <f>(Table24232[HARGA JUAL]*Table24232[TERJUAL])-(Table24232[HARGA POKOK]*Table24232[TERJUAL])</f>
        <v>14500</v>
      </c>
      <c r="J44" s="5">
        <f>(Table24232[HARGA JUAL]*Table24232[TERJUAL])</f>
        <v>45000</v>
      </c>
      <c r="K44" s="5">
        <f>Table24232[HARGA JUAL]*Table24232[SISA]</f>
        <v>45000</v>
      </c>
      <c r="L44" s="25">
        <f>Table24232[HARGA POKOK]*Table24232[STOK]</f>
        <v>61000</v>
      </c>
      <c r="M44" s="25">
        <f>Table24232[HARGA JUAL]*Table24232[STOK]</f>
        <v>90000</v>
      </c>
    </row>
    <row r="45" spans="1:13" x14ac:dyDescent="0.25">
      <c r="A45" s="18">
        <v>41</v>
      </c>
      <c r="B45" s="19" t="s">
        <v>32</v>
      </c>
      <c r="C45" s="19" t="s">
        <v>20</v>
      </c>
      <c r="D45" s="21">
        <v>1500</v>
      </c>
      <c r="E45" s="21">
        <v>5000</v>
      </c>
      <c r="F45" s="12">
        <f>Table2423[STOK]-Table2423[TERJUAL]</f>
        <v>0</v>
      </c>
      <c r="G45" s="8"/>
      <c r="H45" s="12">
        <f>Table24232[STOK]-Table24232[TERJUAL]</f>
        <v>0</v>
      </c>
      <c r="I45" s="5">
        <f>(Table24232[HARGA JUAL]*Table24232[TERJUAL])-(Table24232[HARGA POKOK]*Table24232[TERJUAL])</f>
        <v>0</v>
      </c>
      <c r="J45" s="5">
        <f>(Table24232[HARGA JUAL]*Table24232[TERJUAL])</f>
        <v>0</v>
      </c>
      <c r="K45" s="5">
        <f>Table24232[HARGA JUAL]*Table24232[SISA]</f>
        <v>0</v>
      </c>
      <c r="L45" s="25">
        <f>Table24232[HARGA POKOK]*Table24232[STOK]</f>
        <v>0</v>
      </c>
      <c r="M45" s="25">
        <f>Table24232[HARGA JUAL]*Table24232[STOK]</f>
        <v>0</v>
      </c>
    </row>
    <row r="46" spans="1:13" x14ac:dyDescent="0.25">
      <c r="A46" s="22">
        <v>42</v>
      </c>
      <c r="B46" s="19" t="s">
        <v>32</v>
      </c>
      <c r="C46" s="19" t="s">
        <v>23</v>
      </c>
      <c r="D46" s="21">
        <v>30000</v>
      </c>
      <c r="E46" s="21">
        <v>40000</v>
      </c>
      <c r="F46" s="12">
        <f>Table2423[STOK]-Table2423[TERJUAL]</f>
        <v>5</v>
      </c>
      <c r="G46" s="8"/>
      <c r="H46" s="12">
        <f>Table24232[STOK]-Table24232[TERJUAL]</f>
        <v>5</v>
      </c>
      <c r="I46" s="5">
        <f>(Table24232[HARGA JUAL]*Table24232[TERJUAL])-(Table24232[HARGA POKOK]*Table24232[TERJUAL])</f>
        <v>0</v>
      </c>
      <c r="J46" s="5">
        <f>(Table24232[HARGA JUAL]*Table24232[TERJUAL])</f>
        <v>0</v>
      </c>
      <c r="K46" s="5">
        <f>Table24232[HARGA JUAL]*Table24232[SISA]</f>
        <v>200000</v>
      </c>
      <c r="L46" s="25">
        <f>Table24232[HARGA POKOK]*Table24232[STOK]</f>
        <v>150000</v>
      </c>
      <c r="M46" s="25">
        <f>Table24232[HARGA JUAL]*Table24232[STOK]</f>
        <v>200000</v>
      </c>
    </row>
    <row r="47" spans="1:13" x14ac:dyDescent="0.25">
      <c r="A47" s="18">
        <v>43</v>
      </c>
      <c r="B47" s="19" t="s">
        <v>32</v>
      </c>
      <c r="C47" s="19" t="s">
        <v>19</v>
      </c>
      <c r="D47" s="21">
        <v>1500</v>
      </c>
      <c r="E47" s="21">
        <v>5000</v>
      </c>
      <c r="F47" s="12">
        <f>Table2423[STOK]-Table2423[TERJUAL]</f>
        <v>0</v>
      </c>
      <c r="G47" s="8"/>
      <c r="H47" s="12">
        <f>Table24232[STOK]-Table24232[TERJUAL]</f>
        <v>0</v>
      </c>
      <c r="I47" s="5">
        <f>(Table24232[HARGA JUAL]*Table24232[TERJUAL])-(Table24232[HARGA POKOK]*Table24232[TERJUAL])</f>
        <v>0</v>
      </c>
      <c r="J47" s="5">
        <f>(Table24232[HARGA JUAL]*Table24232[TERJUAL])</f>
        <v>0</v>
      </c>
      <c r="K47" s="5">
        <f>Table24232[HARGA JUAL]*Table24232[SISA]</f>
        <v>0</v>
      </c>
      <c r="L47" s="25">
        <f>Table24232[HARGA POKOK]*Table24232[STOK]</f>
        <v>0</v>
      </c>
      <c r="M47" s="25">
        <f>Table24232[HARGA JUAL]*Table24232[STOK]</f>
        <v>0</v>
      </c>
    </row>
    <row r="48" spans="1:13" x14ac:dyDescent="0.25">
      <c r="A48" s="22">
        <v>44</v>
      </c>
      <c r="B48" s="19" t="s">
        <v>32</v>
      </c>
      <c r="C48" s="19" t="s">
        <v>22</v>
      </c>
      <c r="D48" s="21">
        <v>27500</v>
      </c>
      <c r="E48" s="21">
        <v>40000</v>
      </c>
      <c r="F48" s="12">
        <f>Table2423[STOK]-Table2423[TERJUAL]</f>
        <v>2</v>
      </c>
      <c r="G48" s="8"/>
      <c r="H48" s="12">
        <f>Table24232[STOK]-Table24232[TERJUAL]</f>
        <v>2</v>
      </c>
      <c r="I48" s="5">
        <f>(Table24232[HARGA JUAL]*Table24232[TERJUAL])-(Table24232[HARGA POKOK]*Table24232[TERJUAL])</f>
        <v>0</v>
      </c>
      <c r="J48" s="5">
        <f>(Table24232[HARGA JUAL]*Table24232[TERJUAL])</f>
        <v>0</v>
      </c>
      <c r="K48" s="5">
        <f>Table24232[HARGA JUAL]*Table24232[SISA]</f>
        <v>80000</v>
      </c>
      <c r="L48" s="25">
        <f>Table24232[HARGA POKOK]*Table24232[STOK]</f>
        <v>55000</v>
      </c>
      <c r="M48" s="25">
        <f>Table24232[HARGA JUAL]*Table24232[STOK]</f>
        <v>80000</v>
      </c>
    </row>
    <row r="49" spans="1:13" x14ac:dyDescent="0.25">
      <c r="A49" s="18">
        <v>45</v>
      </c>
      <c r="B49" s="19" t="s">
        <v>32</v>
      </c>
      <c r="C49" s="19" t="s">
        <v>24</v>
      </c>
      <c r="D49" s="21">
        <v>17500</v>
      </c>
      <c r="E49" s="21">
        <v>40000</v>
      </c>
      <c r="F49" s="12">
        <f>Table2423[STOK]-Table2423[TERJUAL]</f>
        <v>22</v>
      </c>
      <c r="G49" s="8">
        <v>3</v>
      </c>
      <c r="H49" s="12">
        <f>Table24232[STOK]-Table24232[TERJUAL]</f>
        <v>19</v>
      </c>
      <c r="I49" s="5">
        <f>(Table24232[HARGA JUAL]*Table24232[TERJUAL])-(Table24232[HARGA POKOK]*Table24232[TERJUAL])</f>
        <v>67500</v>
      </c>
      <c r="J49" s="5">
        <f>(Table24232[HARGA JUAL]*Table24232[TERJUAL])</f>
        <v>120000</v>
      </c>
      <c r="K49" s="5">
        <f>Table24232[HARGA JUAL]*Table24232[SISA]</f>
        <v>760000</v>
      </c>
      <c r="L49" s="25">
        <f>Table24232[HARGA POKOK]*Table24232[STOK]</f>
        <v>385000</v>
      </c>
      <c r="M49" s="25">
        <f>Table24232[HARGA JUAL]*Table24232[STOK]</f>
        <v>880000</v>
      </c>
    </row>
    <row r="50" spans="1:13" x14ac:dyDescent="0.25">
      <c r="A50" s="22">
        <v>46</v>
      </c>
      <c r="B50" s="23" t="s">
        <v>33</v>
      </c>
      <c r="C50" s="23" t="s">
        <v>37</v>
      </c>
      <c r="D50" s="24">
        <v>8700</v>
      </c>
      <c r="E50" s="24">
        <v>15000</v>
      </c>
      <c r="F50" s="13">
        <v>7</v>
      </c>
      <c r="G50" s="9">
        <v>6</v>
      </c>
      <c r="H50" s="13">
        <f>Table24232[STOK]-Table24232[TERJUAL]</f>
        <v>1</v>
      </c>
      <c r="I50" s="5">
        <f>(Table24232[HARGA JUAL]*Table24232[TERJUAL])-(Table24232[HARGA POKOK]*Table24232[TERJUAL])</f>
        <v>37800</v>
      </c>
      <c r="J50" s="4">
        <f>(Table24232[HARGA JUAL]*Table24232[TERJUAL])</f>
        <v>90000</v>
      </c>
      <c r="K50" s="4">
        <f>Table24232[HARGA JUAL]*Table24232[SISA]</f>
        <v>15000</v>
      </c>
      <c r="L50" s="25">
        <f>Table24232[HARGA POKOK]*Table24232[STOK]</f>
        <v>60900</v>
      </c>
      <c r="M50" s="25">
        <f>Table24232[HARGA JUAL]*Table24232[STOK]</f>
        <v>105000</v>
      </c>
    </row>
    <row r="51" spans="1:13" x14ac:dyDescent="0.25">
      <c r="A51" s="18">
        <v>47</v>
      </c>
      <c r="B51" s="23" t="s">
        <v>33</v>
      </c>
      <c r="C51" s="19" t="s">
        <v>25</v>
      </c>
      <c r="D51" s="21">
        <v>8800</v>
      </c>
      <c r="E51" s="21">
        <v>15000</v>
      </c>
      <c r="F51" s="12">
        <v>7</v>
      </c>
      <c r="G51" s="8">
        <v>2</v>
      </c>
      <c r="H51" s="12">
        <v>5</v>
      </c>
      <c r="I51" s="5">
        <f>(Table24232[HARGA JUAL]*Table24232[TERJUAL])-(Table24232[HARGA POKOK]*Table24232[TERJUAL])</f>
        <v>12400</v>
      </c>
      <c r="J51" s="5">
        <f>(Table24232[HARGA JUAL]*Table24232[TERJUAL])</f>
        <v>30000</v>
      </c>
      <c r="K51" s="5">
        <f>Table24232[HARGA JUAL]*Table24232[SISA]</f>
        <v>75000</v>
      </c>
      <c r="L51" s="25">
        <f>Table24232[HARGA POKOK]*Table24232[STOK]</f>
        <v>61600</v>
      </c>
      <c r="M51" s="25">
        <f>Table24232[HARGA JUAL]*Table24232[STOK]</f>
        <v>105000</v>
      </c>
    </row>
    <row r="52" spans="1:13" x14ac:dyDescent="0.25">
      <c r="A52" s="22">
        <v>48</v>
      </c>
      <c r="B52" s="23" t="s">
        <v>33</v>
      </c>
      <c r="C52" s="19" t="s">
        <v>26</v>
      </c>
      <c r="D52" s="21">
        <v>315000</v>
      </c>
      <c r="E52" s="21">
        <v>475000</v>
      </c>
      <c r="F52" s="12">
        <f>Table2423[STOK]-Table2423[TERJUAL]</f>
        <v>150</v>
      </c>
      <c r="G52" s="8">
        <v>11</v>
      </c>
      <c r="H52" s="12">
        <f>Table24232[STOK]-Table24232[TERJUAL]</f>
        <v>139</v>
      </c>
      <c r="I52" s="5">
        <f>(Table24232[HARGA JUAL]*Table24232[TERJUAL])-(Table24232[HARGA POKOK]*Table24232[TERJUAL])</f>
        <v>1760000</v>
      </c>
      <c r="J52" s="5">
        <f>(Table24232[HARGA JUAL]*Table24232[TERJUAL])</f>
        <v>5225000</v>
      </c>
      <c r="K52" s="5">
        <f>Table24232[HARGA JUAL]*Table24232[SISA]</f>
        <v>66025000</v>
      </c>
      <c r="L52" s="25">
        <f>Table24232[HARGA POKOK]*Table24232[STOK]</f>
        <v>47250000</v>
      </c>
      <c r="M52" s="25">
        <f>Table24232[HARGA JUAL]*Table24232[STOK]</f>
        <v>71250000</v>
      </c>
    </row>
    <row r="53" spans="1:13" x14ac:dyDescent="0.25">
      <c r="A53" s="18">
        <v>49</v>
      </c>
      <c r="B53" s="23" t="s">
        <v>34</v>
      </c>
      <c r="C53" s="23" t="s">
        <v>78</v>
      </c>
      <c r="D53" s="24">
        <v>335000</v>
      </c>
      <c r="E53" s="24">
        <v>490000</v>
      </c>
      <c r="F53" s="13">
        <f>Table2423[STOK]-Table2423[TERJUAL]</f>
        <v>0</v>
      </c>
      <c r="G53" s="9"/>
      <c r="H53" s="13">
        <f>Table24232[STOK]-Table24232[TERJUAL]</f>
        <v>0</v>
      </c>
      <c r="I53" s="5">
        <f>(Table24232[HARGA JUAL]*Table24232[TERJUAL])-(Table24232[HARGA POKOK]*Table24232[TERJUAL])</f>
        <v>0</v>
      </c>
      <c r="J53" s="4">
        <f>(Table24232[HARGA JUAL]*Table24232[TERJUAL])</f>
        <v>0</v>
      </c>
      <c r="K53" s="4">
        <f>Table24232[HARGA JUAL]*Table24232[SISA]</f>
        <v>0</v>
      </c>
      <c r="L53" s="25">
        <f>Table24232[HARGA POKOK]*Table24232[STOK]</f>
        <v>0</v>
      </c>
      <c r="M53" s="25">
        <f>Table24232[HARGA JUAL]*Table24232[STOK]</f>
        <v>0</v>
      </c>
    </row>
    <row r="54" spans="1:13" x14ac:dyDescent="0.25">
      <c r="A54" s="29">
        <v>50</v>
      </c>
      <c r="B54" s="30" t="s">
        <v>40</v>
      </c>
      <c r="C54" s="30" t="s">
        <v>79</v>
      </c>
      <c r="D54" s="31">
        <v>30000</v>
      </c>
      <c r="E54" s="31">
        <v>40000</v>
      </c>
      <c r="F54" s="33">
        <f>Table2423[STOK]-Table2423[TERJUAL]</f>
        <v>-2</v>
      </c>
      <c r="G54" s="32"/>
      <c r="H54" s="33">
        <f>Table24232[STOK]-Table24232[TERJUAL]</f>
        <v>-2</v>
      </c>
      <c r="I54" s="34">
        <f>(Table24232[HARGA JUAL]*Table24232[TERJUAL])-(Table24232[HARGA POKOK]*Table24232[TERJUAL])</f>
        <v>0</v>
      </c>
      <c r="J54" s="35">
        <f>(Table24232[HARGA JUAL]*Table24232[TERJUAL])</f>
        <v>0</v>
      </c>
      <c r="K54" s="35"/>
      <c r="L54" s="36"/>
      <c r="M54" s="36"/>
    </row>
    <row r="55" spans="1:13" x14ac:dyDescent="0.25">
      <c r="A55" s="37">
        <v>51</v>
      </c>
      <c r="B55" s="30" t="s">
        <v>71</v>
      </c>
      <c r="C55" s="30" t="s">
        <v>70</v>
      </c>
      <c r="D55" s="31">
        <v>1000</v>
      </c>
      <c r="E55" s="31">
        <v>1700</v>
      </c>
      <c r="F55" s="33">
        <f>Table2423[STOK]-Table2423[TERJUAL]</f>
        <v>-13</v>
      </c>
      <c r="G55" s="32">
        <v>7</v>
      </c>
      <c r="H55" s="33">
        <f>Table24232[STOK]-Table24232[TERJUAL]</f>
        <v>-20</v>
      </c>
      <c r="I55" s="34">
        <f>(Table24232[HARGA JUAL]*Table24232[TERJUAL])-(Table24232[HARGA POKOK]*Table24232[TERJUAL])</f>
        <v>4900</v>
      </c>
      <c r="J55" s="35">
        <f>(Table24232[HARGA JUAL]*Table24232[TERJUAL])</f>
        <v>11900</v>
      </c>
      <c r="K55" s="35"/>
      <c r="L55" s="36"/>
      <c r="M55" s="36"/>
    </row>
    <row r="56" spans="1:13" x14ac:dyDescent="0.25">
      <c r="A56" s="29">
        <v>52</v>
      </c>
      <c r="B56" s="30" t="s">
        <v>68</v>
      </c>
      <c r="C56" s="30" t="s">
        <v>69</v>
      </c>
      <c r="D56" s="38">
        <v>6300</v>
      </c>
      <c r="E56" s="31">
        <v>10000</v>
      </c>
      <c r="F56" s="33">
        <f>Table2423[STOK]-Table2423[TERJUAL]</f>
        <v>-713</v>
      </c>
      <c r="G56" s="32">
        <v>560</v>
      </c>
      <c r="H56" s="33">
        <f>Table24232[STOK]-Table24232[TERJUAL]</f>
        <v>-1273</v>
      </c>
      <c r="I56" s="34">
        <f>(Table24232[HARGA JUAL]*Table24232[TERJUAL])-(Table24232[HARGA POKOK]*Table24232[TERJUAL])</f>
        <v>2072000</v>
      </c>
      <c r="J56" s="35">
        <f>(Table24232[HARGA JUAL]*Table24232[TERJUAL])</f>
        <v>5600000</v>
      </c>
      <c r="K56" s="35"/>
      <c r="L56" s="36"/>
      <c r="M56" s="36"/>
    </row>
    <row r="57" spans="1:13" ht="15.75" thickBot="1" x14ac:dyDescent="0.3">
      <c r="A57" s="37">
        <v>53</v>
      </c>
      <c r="B57" s="30" t="s">
        <v>74</v>
      </c>
      <c r="C57" s="30" t="s">
        <v>80</v>
      </c>
      <c r="D57" s="38">
        <v>6700</v>
      </c>
      <c r="E57" s="31">
        <v>11000</v>
      </c>
      <c r="F57" s="33">
        <f>Table2423[STOK]-Table2423[TERJUAL]</f>
        <v>0</v>
      </c>
      <c r="G57" s="32"/>
      <c r="H57" s="33">
        <f>Table24232[STOK]-Table24232[TERJUAL]</f>
        <v>0</v>
      </c>
      <c r="I57" s="34">
        <f>(Table24232[HARGA JUAL]*Table24232[TERJUAL])-(Table24232[HARGA POKOK]*Table24232[TERJUAL])</f>
        <v>0</v>
      </c>
      <c r="J57" s="35">
        <f>(Table24232[HARGA JUAL]*Table24232[TERJUAL])</f>
        <v>0</v>
      </c>
      <c r="K57" s="35"/>
      <c r="L57" s="36"/>
      <c r="M57" s="36"/>
    </row>
    <row r="58" spans="1:13" ht="19.5" thickBot="1" x14ac:dyDescent="0.3">
      <c r="A58" s="378" t="s">
        <v>8</v>
      </c>
      <c r="B58" s="379"/>
      <c r="C58" s="379"/>
      <c r="D58" s="379"/>
      <c r="E58" s="380"/>
      <c r="F58" s="39"/>
      <c r="G58" s="39"/>
      <c r="H58" s="40"/>
      <c r="I58" s="41">
        <f>SUM(I5:I57)</f>
        <v>6711600</v>
      </c>
      <c r="J58" s="26">
        <f>SUM(J5:J57)</f>
        <v>23566900</v>
      </c>
      <c r="K58" s="41">
        <f>SUBTOTAL(109,Table24232[TOTAL HARGA SISA BARANG])</f>
        <v>183143000</v>
      </c>
      <c r="L58" s="42">
        <f>SUM(L5:L57)</f>
        <v>144213000</v>
      </c>
      <c r="M58" s="42">
        <f>SUM(M5:M53)</f>
        <v>201098000</v>
      </c>
    </row>
    <row r="59" spans="1:13" x14ac:dyDescent="0.25">
      <c r="B59" s="1"/>
      <c r="C59" s="3"/>
      <c r="G59" s="1"/>
      <c r="H59" s="11"/>
      <c r="I59" s="6"/>
      <c r="J59" s="6"/>
      <c r="K59" s="6"/>
      <c r="L59" s="1"/>
      <c r="M59" s="1"/>
    </row>
    <row r="60" spans="1:13" x14ac:dyDescent="0.25">
      <c r="A60" s="7"/>
      <c r="B60" s="55"/>
      <c r="C60" s="53"/>
      <c r="E60" s="386" t="s">
        <v>125</v>
      </c>
      <c r="F60" s="386"/>
      <c r="G60" s="386"/>
      <c r="H60" s="386"/>
      <c r="I60" s="386"/>
      <c r="J60" s="386"/>
      <c r="K60" s="57"/>
      <c r="L60" s="1"/>
      <c r="M60" s="1"/>
    </row>
    <row r="61" spans="1:13" ht="15" customHeight="1" x14ac:dyDescent="0.25">
      <c r="A61" s="7"/>
      <c r="C61" s="381" t="s">
        <v>128</v>
      </c>
      <c r="E61" s="388" t="s">
        <v>123</v>
      </c>
      <c r="F61" s="388"/>
      <c r="G61" s="388"/>
      <c r="H61" s="387"/>
      <c r="I61" s="387"/>
      <c r="J61" s="28"/>
      <c r="K61" s="28"/>
      <c r="L61" s="28"/>
      <c r="M61" s="7"/>
    </row>
    <row r="62" spans="1:13" x14ac:dyDescent="0.25">
      <c r="A62" s="7"/>
      <c r="C62" s="382"/>
      <c r="E62" s="388"/>
      <c r="F62" s="388"/>
      <c r="G62" s="388"/>
      <c r="H62" s="387">
        <v>135000</v>
      </c>
      <c r="I62" s="387"/>
      <c r="J62" s="393" t="s">
        <v>126</v>
      </c>
      <c r="K62" s="393"/>
      <c r="L62" s="393"/>
      <c r="M62" s="28"/>
    </row>
    <row r="63" spans="1:13" ht="15" customHeight="1" x14ac:dyDescent="0.25">
      <c r="A63" s="7"/>
      <c r="B63" s="56"/>
      <c r="C63" s="382"/>
      <c r="E63" s="393"/>
      <c r="F63" s="393"/>
      <c r="G63" s="393"/>
      <c r="H63" s="387"/>
      <c r="I63" s="387"/>
      <c r="J63" s="393"/>
      <c r="K63" s="393"/>
      <c r="L63" s="393"/>
      <c r="M63" s="7"/>
    </row>
    <row r="64" spans="1:13" x14ac:dyDescent="0.25">
      <c r="B64" s="52"/>
      <c r="C64" s="383"/>
      <c r="E64" s="394" t="s">
        <v>8</v>
      </c>
      <c r="F64" s="394"/>
      <c r="G64" s="394"/>
      <c r="H64" s="395">
        <f>SUM(H61:H63)</f>
        <v>135000</v>
      </c>
      <c r="I64" s="395"/>
      <c r="J64" s="43"/>
      <c r="K64" s="7"/>
      <c r="L64" s="27"/>
      <c r="M64" s="1"/>
    </row>
    <row r="65" spans="2:13" x14ac:dyDescent="0.25">
      <c r="B65" s="52" t="s">
        <v>120</v>
      </c>
      <c r="C65" s="53"/>
      <c r="E65" s="43"/>
      <c r="F65" s="389"/>
      <c r="G65" s="389"/>
      <c r="H65" s="389"/>
      <c r="I65" s="389"/>
      <c r="J65" s="389"/>
      <c r="K65" s="27"/>
      <c r="L65" s="27"/>
      <c r="M65" s="1"/>
    </row>
    <row r="66" spans="2:13" x14ac:dyDescent="0.25">
      <c r="B66" s="1"/>
      <c r="C66" s="3"/>
      <c r="E66" s="43" t="s">
        <v>82</v>
      </c>
      <c r="F66" s="44"/>
      <c r="G66" s="390">
        <f>SUBTOTAL(109,Table24232[TOTAL H. B. LAKU TERJUAL])</f>
        <v>23566900</v>
      </c>
      <c r="H66" s="390"/>
      <c r="I66" s="390"/>
      <c r="J66" s="43"/>
      <c r="K66" s="7"/>
      <c r="L66" s="27"/>
      <c r="M66" s="1"/>
    </row>
    <row r="67" spans="2:13" x14ac:dyDescent="0.25">
      <c r="B67" s="1"/>
      <c r="C67" s="3"/>
      <c r="E67" s="43" t="s">
        <v>83</v>
      </c>
      <c r="F67" s="45" t="s">
        <v>84</v>
      </c>
      <c r="G67" s="391">
        <v>135000</v>
      </c>
      <c r="H67" s="391"/>
      <c r="I67" s="391"/>
      <c r="J67" s="43"/>
      <c r="K67" s="7"/>
      <c r="L67" s="27"/>
      <c r="M67" s="1"/>
    </row>
    <row r="68" spans="2:13" x14ac:dyDescent="0.25">
      <c r="B68" s="1"/>
      <c r="C68" s="3"/>
      <c r="E68" s="43" t="s">
        <v>8</v>
      </c>
      <c r="F68" s="43"/>
      <c r="G68" s="392">
        <f>(G66-G67)</f>
        <v>23431900</v>
      </c>
      <c r="H68" s="392"/>
      <c r="I68" s="392"/>
      <c r="J68" s="43"/>
      <c r="K68" s="7"/>
      <c r="L68" s="27"/>
      <c r="M68" s="1"/>
    </row>
    <row r="69" spans="2:13" x14ac:dyDescent="0.25">
      <c r="B69" s="1"/>
      <c r="C69" s="3"/>
      <c r="M69" s="1"/>
    </row>
    <row r="70" spans="2:13" ht="18.75" x14ac:dyDescent="0.3">
      <c r="B70" s="360" t="s">
        <v>99</v>
      </c>
      <c r="C70" s="360"/>
      <c r="D70" s="360"/>
      <c r="E70" s="360"/>
    </row>
    <row r="71" spans="2:13" ht="18.75" x14ac:dyDescent="0.3">
      <c r="B71" s="360" t="s">
        <v>129</v>
      </c>
      <c r="C71" s="360"/>
      <c r="D71" s="360"/>
      <c r="E71" s="360"/>
    </row>
    <row r="72" spans="2:13" ht="18.75" x14ac:dyDescent="0.3">
      <c r="B72" s="360" t="s">
        <v>75</v>
      </c>
      <c r="C72" s="360"/>
      <c r="D72" s="360"/>
      <c r="E72" s="360"/>
    </row>
    <row r="74" spans="2:13" ht="15.75" x14ac:dyDescent="0.25">
      <c r="B74" s="356" t="s">
        <v>111</v>
      </c>
      <c r="C74" s="357"/>
      <c r="D74" s="356" t="s">
        <v>77</v>
      </c>
      <c r="E74" s="357"/>
    </row>
    <row r="75" spans="2:13" ht="15.75" x14ac:dyDescent="0.25">
      <c r="B75" s="242" t="s">
        <v>103</v>
      </c>
      <c r="C75" s="243"/>
      <c r="D75" s="48"/>
      <c r="E75" s="48"/>
    </row>
    <row r="76" spans="2:13" ht="15.75" x14ac:dyDescent="0.25">
      <c r="B76" s="354" t="s">
        <v>102</v>
      </c>
      <c r="C76" s="355"/>
      <c r="D76" s="46">
        <v>23431900</v>
      </c>
      <c r="E76" s="46"/>
    </row>
    <row r="77" spans="2:13" ht="15.75" x14ac:dyDescent="0.25">
      <c r="B77" s="356" t="s">
        <v>104</v>
      </c>
      <c r="C77" s="357"/>
      <c r="D77" s="46"/>
      <c r="E77" s="47">
        <v>23431900</v>
      </c>
    </row>
    <row r="78" spans="2:13" ht="15.75" x14ac:dyDescent="0.25">
      <c r="B78" s="350" t="s">
        <v>106</v>
      </c>
      <c r="C78" s="351"/>
      <c r="D78" s="46"/>
      <c r="E78" s="46">
        <v>16720300</v>
      </c>
    </row>
    <row r="79" spans="2:13" ht="15.75" x14ac:dyDescent="0.25">
      <c r="B79" s="358" t="s">
        <v>114</v>
      </c>
      <c r="C79" s="359"/>
      <c r="D79" s="49"/>
      <c r="E79" s="50">
        <f>SUM(E77-E78)</f>
        <v>6711600</v>
      </c>
    </row>
    <row r="80" spans="2:13" ht="15.75" x14ac:dyDescent="0.25">
      <c r="B80" s="346" t="s">
        <v>105</v>
      </c>
      <c r="C80" s="347"/>
      <c r="D80" s="46"/>
      <c r="E80" s="54"/>
    </row>
    <row r="81" spans="2:5" ht="15.75" x14ac:dyDescent="0.25">
      <c r="B81" s="348" t="s">
        <v>97</v>
      </c>
      <c r="C81" s="349"/>
      <c r="D81" s="46">
        <v>2000000</v>
      </c>
      <c r="E81" s="46"/>
    </row>
    <row r="82" spans="2:5" ht="15.75" x14ac:dyDescent="0.25">
      <c r="B82" s="240" t="s">
        <v>127</v>
      </c>
      <c r="C82" s="241"/>
      <c r="D82" s="46">
        <v>2000000</v>
      </c>
      <c r="E82" s="46"/>
    </row>
    <row r="83" spans="2:5" ht="15.75" x14ac:dyDescent="0.25">
      <c r="B83" s="350" t="s">
        <v>98</v>
      </c>
      <c r="C83" s="351"/>
      <c r="D83" s="46">
        <v>352000</v>
      </c>
      <c r="E83" s="46"/>
    </row>
    <row r="84" spans="2:5" ht="15.75" x14ac:dyDescent="0.25">
      <c r="B84" s="344" t="s">
        <v>113</v>
      </c>
      <c r="C84" s="345"/>
      <c r="D84" s="46">
        <v>174500</v>
      </c>
      <c r="E84" s="46"/>
    </row>
    <row r="85" spans="2:5" ht="15.75" x14ac:dyDescent="0.25">
      <c r="B85" s="352" t="s">
        <v>107</v>
      </c>
      <c r="C85" s="353"/>
      <c r="D85" s="51" t="s">
        <v>117</v>
      </c>
      <c r="E85" s="47">
        <f>SUM(D81:D84)</f>
        <v>4526500</v>
      </c>
    </row>
    <row r="86" spans="2:5" ht="15.75" x14ac:dyDescent="0.25">
      <c r="B86" s="344" t="s">
        <v>108</v>
      </c>
      <c r="C86" s="345"/>
      <c r="D86" s="51"/>
      <c r="E86" s="51"/>
    </row>
    <row r="87" spans="2:5" ht="15.75" x14ac:dyDescent="0.25">
      <c r="B87" s="346" t="s">
        <v>109</v>
      </c>
      <c r="C87" s="347"/>
      <c r="D87" s="48"/>
      <c r="E87" s="50">
        <f>SUM(E79-E85)</f>
        <v>2185100</v>
      </c>
    </row>
  </sheetData>
  <mergeCells count="34">
    <mergeCell ref="F65:J65"/>
    <mergeCell ref="G66:I66"/>
    <mergeCell ref="G67:I67"/>
    <mergeCell ref="G68:I68"/>
    <mergeCell ref="H62:I62"/>
    <mergeCell ref="J62:L62"/>
    <mergeCell ref="E63:G63"/>
    <mergeCell ref="H63:I63"/>
    <mergeCell ref="J63:L63"/>
    <mergeCell ref="E64:G64"/>
    <mergeCell ref="H64:I64"/>
    <mergeCell ref="C61:C64"/>
    <mergeCell ref="A1:N1"/>
    <mergeCell ref="A2:N2"/>
    <mergeCell ref="A58:E58"/>
    <mergeCell ref="E60:J60"/>
    <mergeCell ref="H61:I61"/>
    <mergeCell ref="E61:G62"/>
    <mergeCell ref="B70:E70"/>
    <mergeCell ref="B71:E71"/>
    <mergeCell ref="B72:E72"/>
    <mergeCell ref="B74:C74"/>
    <mergeCell ref="D74:E74"/>
    <mergeCell ref="B76:C76"/>
    <mergeCell ref="B77:C77"/>
    <mergeCell ref="B78:C78"/>
    <mergeCell ref="B79:C79"/>
    <mergeCell ref="B80:C80"/>
    <mergeCell ref="B87:C87"/>
    <mergeCell ref="B81:C81"/>
    <mergeCell ref="B83:C83"/>
    <mergeCell ref="B84:C84"/>
    <mergeCell ref="B85:C85"/>
    <mergeCell ref="B86:C86"/>
  </mergeCells>
  <pageMargins left="0.7" right="0.7" top="0.75" bottom="0.75" header="0.3" footer="0.3"/>
  <pageSetup paperSize="256" scale="60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8"/>
  <sheetViews>
    <sheetView topLeftCell="B67" workbookViewId="0">
      <selection activeCell="F14" sqref="F14"/>
    </sheetView>
  </sheetViews>
  <sheetFormatPr defaultRowHeight="15" x14ac:dyDescent="0.25"/>
  <cols>
    <col min="1" max="1" width="9.140625" customWidth="1"/>
    <col min="2" max="2" width="17.5703125" customWidth="1"/>
    <col min="3" max="3" width="27.140625" customWidth="1"/>
    <col min="4" max="4" width="17.140625" customWidth="1"/>
    <col min="5" max="5" width="20.28515625" customWidth="1"/>
    <col min="6" max="6" width="18.7109375" customWidth="1"/>
    <col min="7" max="7" width="13.7109375" customWidth="1"/>
    <col min="8" max="8" width="8.8554687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132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15" t="s">
        <v>0</v>
      </c>
      <c r="B4" s="16" t="s">
        <v>1</v>
      </c>
      <c r="C4" s="17" t="s">
        <v>2</v>
      </c>
      <c r="D4" s="16" t="s">
        <v>119</v>
      </c>
      <c r="E4" s="16" t="s">
        <v>3</v>
      </c>
      <c r="F4" s="2" t="s">
        <v>4</v>
      </c>
      <c r="G4" s="2" t="s">
        <v>5</v>
      </c>
      <c r="H4" s="10" t="s">
        <v>6</v>
      </c>
      <c r="I4" s="14" t="s">
        <v>7</v>
      </c>
      <c r="J4" s="14" t="s">
        <v>115</v>
      </c>
      <c r="K4" s="14" t="s">
        <v>92</v>
      </c>
      <c r="L4" s="2" t="s">
        <v>116</v>
      </c>
      <c r="M4" s="2" t="s">
        <v>81</v>
      </c>
      <c r="N4" s="2" t="s">
        <v>72</v>
      </c>
    </row>
    <row r="5" spans="1:14" x14ac:dyDescent="0.25">
      <c r="A5" s="18">
        <v>1</v>
      </c>
      <c r="B5" s="19" t="s">
        <v>27</v>
      </c>
      <c r="C5" s="19" t="s">
        <v>41</v>
      </c>
      <c r="D5" s="20">
        <v>73500</v>
      </c>
      <c r="E5" s="21">
        <v>95000</v>
      </c>
      <c r="F5" s="12">
        <v>21</v>
      </c>
      <c r="G5" s="8">
        <v>21</v>
      </c>
      <c r="H5" s="12">
        <f>Table242325[STOK]-Table242325[TERJUAL]</f>
        <v>0</v>
      </c>
      <c r="I5" s="5">
        <f>(Table242325[HARGA JUAL]*Table242325[TERJUAL])-(Table242325[HARGA POKOK]*Table242325[TERJUAL])</f>
        <v>451500</v>
      </c>
      <c r="J5" s="5">
        <f>(Table242325[HARGA JUAL]*Table242325[TERJUAL])</f>
        <v>1995000</v>
      </c>
      <c r="K5" s="5">
        <f>Table242325[HARGA JUAL]*Table242325[SISA]</f>
        <v>0</v>
      </c>
      <c r="L5" s="25">
        <f>Table242325[HARGA POKOK]*Table242325[STOK]</f>
        <v>1543500</v>
      </c>
      <c r="M5" s="25">
        <f>Table242325[HARGA JUAL]*Table242325[STOK]</f>
        <v>1995000</v>
      </c>
    </row>
    <row r="6" spans="1:14" x14ac:dyDescent="0.25">
      <c r="A6" s="22">
        <v>2</v>
      </c>
      <c r="B6" s="19" t="s">
        <v>27</v>
      </c>
      <c r="C6" s="86" t="s">
        <v>42</v>
      </c>
      <c r="D6" s="24">
        <v>58500</v>
      </c>
      <c r="E6" s="24">
        <v>80000</v>
      </c>
      <c r="F6" s="13">
        <v>35</v>
      </c>
      <c r="G6" s="9">
        <v>16</v>
      </c>
      <c r="H6" s="13">
        <f>Table242325[STOK]-Table242325[TERJUAL]</f>
        <v>19</v>
      </c>
      <c r="I6" s="5">
        <f>(Table242325[HARGA JUAL]*Table242325[TERJUAL])-(Table242325[HARGA POKOK]*Table242325[TERJUAL])</f>
        <v>344000</v>
      </c>
      <c r="J6" s="4">
        <f>(Table242325[HARGA JUAL]*Table242325[TERJUAL])</f>
        <v>1280000</v>
      </c>
      <c r="K6" s="4">
        <f>Table242325[HARGA JUAL]*Table242325[SISA]</f>
        <v>1520000</v>
      </c>
      <c r="L6" s="25">
        <f>Table242325[HARGA POKOK]*Table242325[STOK]</f>
        <v>2047500</v>
      </c>
      <c r="M6" s="25">
        <f>Table242325[HARGA JUAL]*Table242325[STOK]</f>
        <v>2800000</v>
      </c>
    </row>
    <row r="7" spans="1:14" x14ac:dyDescent="0.25">
      <c r="A7" s="18">
        <v>3</v>
      </c>
      <c r="B7" s="19" t="s">
        <v>27</v>
      </c>
      <c r="C7" s="19" t="s">
        <v>43</v>
      </c>
      <c r="D7" s="21">
        <v>52500</v>
      </c>
      <c r="E7" s="21">
        <v>75000</v>
      </c>
      <c r="F7" s="12">
        <v>37</v>
      </c>
      <c r="G7" s="8">
        <v>1</v>
      </c>
      <c r="H7" s="12">
        <f>Table242325[STOK]-Table242325[TERJUAL]</f>
        <v>36</v>
      </c>
      <c r="I7" s="5">
        <f>(Table242325[HARGA JUAL]*Table242325[TERJUAL])-(Table242325[HARGA POKOK]*Table242325[TERJUAL])</f>
        <v>22500</v>
      </c>
      <c r="J7" s="5">
        <f>(Table242325[HARGA JUAL]*Table242325[TERJUAL])</f>
        <v>75000</v>
      </c>
      <c r="K7" s="5">
        <f>Table242325[HARGA JUAL]*Table242325[SISA]</f>
        <v>2700000</v>
      </c>
      <c r="L7" s="25">
        <f>Table242325[HARGA POKOK]*Table242325[STOK]</f>
        <v>1942500</v>
      </c>
      <c r="M7" s="25">
        <f>Table242325[HARGA JUAL]*Table242325[STOK]</f>
        <v>2775000</v>
      </c>
    </row>
    <row r="8" spans="1:14" x14ac:dyDescent="0.25">
      <c r="A8" s="22">
        <v>4</v>
      </c>
      <c r="B8" s="19" t="s">
        <v>27</v>
      </c>
      <c r="C8" s="19" t="s">
        <v>44</v>
      </c>
      <c r="D8" s="21">
        <v>63500</v>
      </c>
      <c r="E8" s="21">
        <v>80000</v>
      </c>
      <c r="F8" s="12">
        <v>18</v>
      </c>
      <c r="G8" s="8">
        <v>18</v>
      </c>
      <c r="H8" s="12">
        <f>Table242325[STOK]-Table242325[TERJUAL]</f>
        <v>0</v>
      </c>
      <c r="I8" s="5">
        <f>(Table242325[HARGA JUAL]*Table242325[TERJUAL])-(Table242325[HARGA POKOK]*Table242325[TERJUAL])</f>
        <v>297000</v>
      </c>
      <c r="J8" s="5">
        <f>(Table242325[HARGA JUAL]*Table242325[TERJUAL])</f>
        <v>1440000</v>
      </c>
      <c r="K8" s="5">
        <f>Table242325[HARGA JUAL]*Table242325[SISA]</f>
        <v>0</v>
      </c>
      <c r="L8" s="25">
        <f>Table242325[HARGA POKOK]*Table242325[STOK]</f>
        <v>1143000</v>
      </c>
      <c r="M8" s="25">
        <f>Table242325[HARGA JUAL]*Table242325[STOK]</f>
        <v>1440000</v>
      </c>
    </row>
    <row r="9" spans="1:14" x14ac:dyDescent="0.25">
      <c r="A9" s="18">
        <v>5</v>
      </c>
      <c r="B9" s="19" t="s">
        <v>27</v>
      </c>
      <c r="C9" s="19" t="s">
        <v>45</v>
      </c>
      <c r="D9" s="21">
        <v>58500</v>
      </c>
      <c r="E9" s="21">
        <v>80000</v>
      </c>
      <c r="F9" s="12">
        <v>74</v>
      </c>
      <c r="G9" s="8">
        <v>21</v>
      </c>
      <c r="H9" s="12">
        <f>Table242325[STOK]-Table242325[TERJUAL]</f>
        <v>53</v>
      </c>
      <c r="I9" s="5">
        <f>(Table242325[HARGA JUAL]*Table242325[TERJUAL])-(Table242325[HARGA POKOK]*Table242325[TERJUAL])</f>
        <v>451500</v>
      </c>
      <c r="J9" s="5">
        <f>(Table242325[HARGA JUAL]*Table242325[TERJUAL])</f>
        <v>1680000</v>
      </c>
      <c r="K9" s="5">
        <f>Table242325[HARGA JUAL]*Table242325[SISA]</f>
        <v>4240000</v>
      </c>
      <c r="L9" s="25">
        <f>Table242325[HARGA POKOK]*Table242325[STOK]</f>
        <v>4329000</v>
      </c>
      <c r="M9" s="25">
        <f>Table242325[HARGA JUAL]*Table242325[STOK]</f>
        <v>5920000</v>
      </c>
    </row>
    <row r="10" spans="1:14" x14ac:dyDescent="0.25">
      <c r="A10" s="22">
        <v>6</v>
      </c>
      <c r="B10" s="19" t="s">
        <v>27</v>
      </c>
      <c r="C10" s="19" t="s">
        <v>46</v>
      </c>
      <c r="D10" s="21">
        <v>83500</v>
      </c>
      <c r="E10" s="21">
        <v>110000</v>
      </c>
      <c r="F10" s="12">
        <v>37</v>
      </c>
      <c r="G10" s="8">
        <v>1</v>
      </c>
      <c r="H10" s="12">
        <f>Table242325[STOK]-Table242325[TERJUAL]</f>
        <v>36</v>
      </c>
      <c r="I10" s="5">
        <f>(Table242325[HARGA JUAL]*Table242325[TERJUAL])-(Table242325[HARGA POKOK]*Table242325[TERJUAL])</f>
        <v>26500</v>
      </c>
      <c r="J10" s="5">
        <f>(Table242325[HARGA JUAL]*Table242325[TERJUAL])</f>
        <v>110000</v>
      </c>
      <c r="K10" s="5">
        <f>Table242325[HARGA JUAL]*Table242325[SISA]</f>
        <v>3960000</v>
      </c>
      <c r="L10" s="25">
        <f>Table242325[HARGA POKOK]*Table242325[STOK]</f>
        <v>3089500</v>
      </c>
      <c r="M10" s="25">
        <f>Table242325[HARGA JUAL]*Table242325[STOK]</f>
        <v>4070000</v>
      </c>
    </row>
    <row r="11" spans="1:14" x14ac:dyDescent="0.25">
      <c r="A11" s="18">
        <v>7</v>
      </c>
      <c r="B11" s="19" t="s">
        <v>28</v>
      </c>
      <c r="C11" s="19" t="s">
        <v>38</v>
      </c>
      <c r="D11" s="21">
        <v>88500</v>
      </c>
      <c r="E11" s="21">
        <v>115000</v>
      </c>
      <c r="F11" s="12">
        <v>18</v>
      </c>
      <c r="G11" s="8">
        <v>4</v>
      </c>
      <c r="H11" s="12">
        <f>Table242325[STOK]-Table242325[TERJUAL]</f>
        <v>14</v>
      </c>
      <c r="I11" s="5">
        <f>(Table242325[HARGA JUAL]*Table242325[TERJUAL])-(Table242325[HARGA POKOK]*Table242325[TERJUAL])</f>
        <v>106000</v>
      </c>
      <c r="J11" s="5">
        <f>(Table242325[HARGA JUAL]*Table242325[TERJUAL])</f>
        <v>460000</v>
      </c>
      <c r="K11" s="5">
        <f>Table242325[HARGA JUAL]*Table242325[SISA]</f>
        <v>1610000</v>
      </c>
      <c r="L11" s="25">
        <f>Table242325[HARGA POKOK]*Table242325[STOK]</f>
        <v>1593000</v>
      </c>
      <c r="M11" s="25">
        <f>Table242325[HARGA JUAL]*Table242325[STOK]</f>
        <v>2070000</v>
      </c>
    </row>
    <row r="12" spans="1:14" x14ac:dyDescent="0.25">
      <c r="A12" s="22">
        <v>8</v>
      </c>
      <c r="B12" s="86" t="s">
        <v>28</v>
      </c>
      <c r="C12" s="86" t="s">
        <v>10</v>
      </c>
      <c r="D12" s="24">
        <v>84500</v>
      </c>
      <c r="E12" s="24">
        <v>90000</v>
      </c>
      <c r="F12" s="13">
        <v>48</v>
      </c>
      <c r="G12" s="9">
        <v>4</v>
      </c>
      <c r="H12" s="13">
        <f>Table242325[STOK]-Table242325[TERJUAL]</f>
        <v>44</v>
      </c>
      <c r="I12" s="5">
        <f>(Table242325[HARGA JUAL]*Table242325[TERJUAL])-(Table242325[HARGA POKOK]*Table242325[TERJUAL])</f>
        <v>22000</v>
      </c>
      <c r="J12" s="4">
        <f>(Table242325[HARGA JUAL]*Table242325[TERJUAL])</f>
        <v>360000</v>
      </c>
      <c r="K12" s="4">
        <f>Table242325[HARGA JUAL]*Table242325[SISA]</f>
        <v>3960000</v>
      </c>
      <c r="L12" s="25">
        <f>Table242325[HARGA POKOK]*Table242325[STOK]</f>
        <v>4056000</v>
      </c>
      <c r="M12" s="25">
        <f>Table242325[HARGA JUAL]*Table242325[STOK]</f>
        <v>4320000</v>
      </c>
    </row>
    <row r="13" spans="1:14" x14ac:dyDescent="0.25">
      <c r="A13" s="18">
        <v>9</v>
      </c>
      <c r="B13" s="86" t="s">
        <v>28</v>
      </c>
      <c r="C13" s="19" t="s">
        <v>11</v>
      </c>
      <c r="D13" s="21">
        <v>158000</v>
      </c>
      <c r="E13" s="21">
        <v>180000</v>
      </c>
      <c r="F13" s="12"/>
      <c r="G13" s="8"/>
      <c r="H13" s="12">
        <f>Table242325[STOK]-Table242325[TERJUAL]</f>
        <v>0</v>
      </c>
      <c r="I13" s="5">
        <f>(Table242325[HARGA JUAL]*Table242325[TERJUAL])-(Table242325[HARGA POKOK]*Table242325[TERJUAL])</f>
        <v>0</v>
      </c>
      <c r="J13" s="5">
        <f>(Table242325[HARGA JUAL]*Table242325[TERJUAL])</f>
        <v>0</v>
      </c>
      <c r="K13" s="5">
        <f>Table242325[HARGA JUAL]*Table242325[SISA]</f>
        <v>0</v>
      </c>
      <c r="L13" s="25">
        <f>Table242325[HARGA POKOK]*Table242325[STOK]</f>
        <v>0</v>
      </c>
      <c r="M13" s="25">
        <f>Table242325[HARGA JUAL]*Table242325[STOK]</f>
        <v>0</v>
      </c>
    </row>
    <row r="14" spans="1:14" x14ac:dyDescent="0.25">
      <c r="A14" s="22">
        <v>10</v>
      </c>
      <c r="B14" s="86" t="s">
        <v>28</v>
      </c>
      <c r="C14" s="19" t="s">
        <v>12</v>
      </c>
      <c r="D14" s="21">
        <v>133000</v>
      </c>
      <c r="E14" s="21">
        <v>165000</v>
      </c>
      <c r="F14" s="12">
        <v>86</v>
      </c>
      <c r="G14" s="8">
        <v>3</v>
      </c>
      <c r="H14" s="12">
        <f>Table242325[STOK]-Table242325[TERJUAL]</f>
        <v>83</v>
      </c>
      <c r="I14" s="5">
        <f>(Table242325[HARGA JUAL]*Table242325[TERJUAL])-(Table242325[HARGA POKOK]*Table242325[TERJUAL])</f>
        <v>96000</v>
      </c>
      <c r="J14" s="5">
        <f>(Table242325[HARGA JUAL]*Table242325[TERJUAL])</f>
        <v>495000</v>
      </c>
      <c r="K14" s="5">
        <f>Table242325[HARGA JUAL]*Table242325[SISA]</f>
        <v>13695000</v>
      </c>
      <c r="L14" s="25">
        <f>Table242325[HARGA POKOK]*Table242325[STOK]</f>
        <v>11438000</v>
      </c>
      <c r="M14" s="25">
        <f>Table242325[HARGA JUAL]*Table242325[STOK]</f>
        <v>14190000</v>
      </c>
    </row>
    <row r="15" spans="1:14" x14ac:dyDescent="0.25">
      <c r="A15" s="18">
        <v>11</v>
      </c>
      <c r="B15" s="86" t="s">
        <v>28</v>
      </c>
      <c r="C15" s="19" t="s">
        <v>39</v>
      </c>
      <c r="D15" s="21">
        <v>29500</v>
      </c>
      <c r="E15" s="21">
        <v>40000</v>
      </c>
      <c r="F15" s="12">
        <v>6</v>
      </c>
      <c r="G15" s="8">
        <v>1</v>
      </c>
      <c r="H15" s="12">
        <f>Table242325[STOK]-Table242325[TERJUAL]</f>
        <v>5</v>
      </c>
      <c r="I15" s="5">
        <f>(Table242325[HARGA JUAL]*Table242325[TERJUAL])-(Table242325[HARGA POKOK]*Table242325[TERJUAL])</f>
        <v>10500</v>
      </c>
      <c r="J15" s="5">
        <f>(Table242325[HARGA JUAL]*Table242325[TERJUAL])</f>
        <v>40000</v>
      </c>
      <c r="K15" s="5">
        <f>Table242325[HARGA JUAL]*Table242325[SISA]</f>
        <v>200000</v>
      </c>
      <c r="L15" s="25">
        <f>Table242325[HARGA POKOK]*Table242325[STOK]</f>
        <v>177000</v>
      </c>
      <c r="M15" s="25">
        <f>Table242325[HARGA JUAL]*Table242325[STOK]</f>
        <v>240000</v>
      </c>
    </row>
    <row r="16" spans="1:14" x14ac:dyDescent="0.25">
      <c r="A16" s="22">
        <v>12</v>
      </c>
      <c r="B16" s="86" t="s">
        <v>28</v>
      </c>
      <c r="C16" s="19" t="s">
        <v>47</v>
      </c>
      <c r="D16" s="21">
        <v>66000</v>
      </c>
      <c r="E16" s="21">
        <v>85000</v>
      </c>
      <c r="F16" s="12">
        <v>67</v>
      </c>
      <c r="G16" s="8"/>
      <c r="H16" s="12">
        <f>Table242325[STOK]-Table242325[TERJUAL]</f>
        <v>67</v>
      </c>
      <c r="I16" s="5">
        <f>(Table242325[HARGA JUAL]*Table242325[TERJUAL])-(Table242325[HARGA POKOK]*Table242325[TERJUAL])</f>
        <v>0</v>
      </c>
      <c r="J16" s="5">
        <f>(Table242325[HARGA JUAL]*Table242325[TERJUAL])</f>
        <v>0</v>
      </c>
      <c r="K16" s="5">
        <f>Table242325[HARGA JUAL]*Table242325[SISA]</f>
        <v>5695000</v>
      </c>
      <c r="L16" s="25">
        <f>Table242325[HARGA POKOK]*Table242325[STOK]</f>
        <v>4422000</v>
      </c>
      <c r="M16" s="25">
        <f>Table242325[HARGA JUAL]*Table242325[STOK]</f>
        <v>5695000</v>
      </c>
    </row>
    <row r="17" spans="1:13" x14ac:dyDescent="0.25">
      <c r="A17" s="18">
        <v>13</v>
      </c>
      <c r="B17" s="86" t="s">
        <v>28</v>
      </c>
      <c r="C17" s="19" t="s">
        <v>48</v>
      </c>
      <c r="D17" s="21">
        <v>22500</v>
      </c>
      <c r="E17" s="21">
        <v>33000</v>
      </c>
      <c r="F17" s="12">
        <v>397</v>
      </c>
      <c r="G17" s="8">
        <v>4</v>
      </c>
      <c r="H17" s="12">
        <f>Table242325[STOK]-Table242325[TERJUAL]</f>
        <v>393</v>
      </c>
      <c r="I17" s="5">
        <f>(Table242325[HARGA JUAL]*Table242325[TERJUAL])-(Table242325[HARGA POKOK]*Table242325[TERJUAL])</f>
        <v>42000</v>
      </c>
      <c r="J17" s="5">
        <f>(Table242325[HARGA JUAL]*Table242325[TERJUAL])</f>
        <v>132000</v>
      </c>
      <c r="K17" s="5">
        <f>Table242325[HARGA JUAL]*Table242325[SISA]</f>
        <v>12969000</v>
      </c>
      <c r="L17" s="25">
        <f>Table242325[HARGA POKOK]*Table242325[STOK]</f>
        <v>8932500</v>
      </c>
      <c r="M17" s="25">
        <f>Table242325[HARGA JUAL]*Table242325[STOK]</f>
        <v>13101000</v>
      </c>
    </row>
    <row r="18" spans="1:13" x14ac:dyDescent="0.25">
      <c r="A18" s="22">
        <v>14</v>
      </c>
      <c r="B18" s="86" t="s">
        <v>28</v>
      </c>
      <c r="C18" s="19" t="s">
        <v>49</v>
      </c>
      <c r="D18" s="21">
        <v>56000</v>
      </c>
      <c r="E18" s="21">
        <v>80000</v>
      </c>
      <c r="F18" s="12">
        <v>82</v>
      </c>
      <c r="G18" s="8">
        <v>5</v>
      </c>
      <c r="H18" s="12">
        <f>Table242325[STOK]-Table242325[TERJUAL]</f>
        <v>77</v>
      </c>
      <c r="I18" s="5">
        <f>(Table242325[HARGA JUAL]*Table242325[TERJUAL])-(Table242325[HARGA POKOK]*Table242325[TERJUAL])</f>
        <v>120000</v>
      </c>
      <c r="J18" s="5">
        <f>(Table242325[HARGA JUAL]*Table242325[TERJUAL])</f>
        <v>400000</v>
      </c>
      <c r="K18" s="5">
        <f>Table242325[HARGA JUAL]*Table242325[SISA]</f>
        <v>6160000</v>
      </c>
      <c r="L18" s="25">
        <f>Table242325[HARGA POKOK]*Table242325[STOK]</f>
        <v>4592000</v>
      </c>
      <c r="M18" s="25">
        <f>Table242325[HARGA JUAL]*Table242325[STOK]</f>
        <v>6560000</v>
      </c>
    </row>
    <row r="19" spans="1:13" x14ac:dyDescent="0.25">
      <c r="A19" s="18">
        <v>15</v>
      </c>
      <c r="B19" s="86" t="s">
        <v>28</v>
      </c>
      <c r="C19" s="19" t="s">
        <v>50</v>
      </c>
      <c r="D19" s="21">
        <v>40000</v>
      </c>
      <c r="E19" s="21">
        <v>60000</v>
      </c>
      <c r="F19" s="12">
        <v>12</v>
      </c>
      <c r="G19" s="8">
        <v>3</v>
      </c>
      <c r="H19" s="12">
        <f>Table242325[STOK]-Table242325[TERJUAL]</f>
        <v>9</v>
      </c>
      <c r="I19" s="5">
        <f>(Table242325[HARGA JUAL]*Table242325[TERJUAL])-(Table242325[HARGA POKOK]*Table242325[TERJUAL])</f>
        <v>60000</v>
      </c>
      <c r="J19" s="5">
        <f>(Table242325[HARGA JUAL]*Table242325[TERJUAL])</f>
        <v>180000</v>
      </c>
      <c r="K19" s="5">
        <f>Table242325[HARGA JUAL]*Table242325[SISA]</f>
        <v>540000</v>
      </c>
      <c r="L19" s="25">
        <f>Table242325[HARGA POKOK]*Table242325[STOK]</f>
        <v>480000</v>
      </c>
      <c r="M19" s="25">
        <f>Table242325[HARGA JUAL]*Table242325[STOK]</f>
        <v>720000</v>
      </c>
    </row>
    <row r="20" spans="1:13" x14ac:dyDescent="0.25">
      <c r="A20" s="22">
        <v>16</v>
      </c>
      <c r="B20" s="86" t="s">
        <v>28</v>
      </c>
      <c r="C20" s="19" t="s">
        <v>51</v>
      </c>
      <c r="D20" s="21">
        <v>60000</v>
      </c>
      <c r="E20" s="21">
        <v>80000</v>
      </c>
      <c r="F20" s="12">
        <v>77</v>
      </c>
      <c r="G20" s="8">
        <v>7</v>
      </c>
      <c r="H20" s="12">
        <f>Table242325[STOK]-Table242325[TERJUAL]</f>
        <v>70</v>
      </c>
      <c r="I20" s="5">
        <f>(Table242325[HARGA JUAL]*Table242325[TERJUAL])-(Table242325[HARGA POKOK]*Table242325[TERJUAL])</f>
        <v>140000</v>
      </c>
      <c r="J20" s="5">
        <f>(Table242325[HARGA JUAL]*Table242325[TERJUAL])</f>
        <v>560000</v>
      </c>
      <c r="K20" s="5">
        <f>Table242325[HARGA JUAL]*Table242325[SISA]</f>
        <v>5600000</v>
      </c>
      <c r="L20" s="25">
        <f>Table242325[HARGA POKOK]*Table242325[STOK]</f>
        <v>4620000</v>
      </c>
      <c r="M20" s="25">
        <f>Table242325[HARGA JUAL]*Table242325[STOK]</f>
        <v>6160000</v>
      </c>
    </row>
    <row r="21" spans="1:13" x14ac:dyDescent="0.25">
      <c r="A21" s="18">
        <v>17</v>
      </c>
      <c r="B21" s="86" t="s">
        <v>28</v>
      </c>
      <c r="C21" s="19" t="s">
        <v>52</v>
      </c>
      <c r="D21" s="21">
        <v>30000</v>
      </c>
      <c r="E21" s="21">
        <v>45000</v>
      </c>
      <c r="F21" s="12">
        <v>95</v>
      </c>
      <c r="G21" s="8">
        <v>2</v>
      </c>
      <c r="H21" s="12">
        <f>Table242325[STOK]-Table242325[TERJUAL]</f>
        <v>93</v>
      </c>
      <c r="I21" s="5">
        <f>(Table242325[HARGA JUAL]*Table242325[TERJUAL])-(Table242325[HARGA POKOK]*Table242325[TERJUAL])</f>
        <v>30000</v>
      </c>
      <c r="J21" s="5">
        <f>(Table242325[HARGA JUAL]*Table242325[TERJUAL])</f>
        <v>90000</v>
      </c>
      <c r="K21" s="5">
        <f>Table242325[HARGA JUAL]*Table242325[SISA]</f>
        <v>4185000</v>
      </c>
      <c r="L21" s="25">
        <f>Table242325[HARGA POKOK]*Table242325[STOK]</f>
        <v>2850000</v>
      </c>
      <c r="M21" s="25">
        <f>Table242325[HARGA JUAL]*Table242325[STOK]</f>
        <v>4275000</v>
      </c>
    </row>
    <row r="22" spans="1:13" x14ac:dyDescent="0.25">
      <c r="A22" s="22">
        <v>18</v>
      </c>
      <c r="B22" s="86" t="s">
        <v>28</v>
      </c>
      <c r="C22" s="19" t="s">
        <v>53</v>
      </c>
      <c r="D22" s="21">
        <v>3000</v>
      </c>
      <c r="E22" s="21">
        <v>5000</v>
      </c>
      <c r="F22" s="12">
        <v>19</v>
      </c>
      <c r="G22" s="8">
        <v>14</v>
      </c>
      <c r="H22" s="12">
        <f>Table242325[STOK]-Table242325[TERJUAL]</f>
        <v>5</v>
      </c>
      <c r="I22" s="5">
        <f>(Table242325[HARGA JUAL]*Table242325[TERJUAL])-(Table242325[HARGA POKOK]*Table242325[TERJUAL])</f>
        <v>28000</v>
      </c>
      <c r="J22" s="5">
        <f>(Table242325[HARGA JUAL]*Table242325[TERJUAL])</f>
        <v>70000</v>
      </c>
      <c r="K22" s="5">
        <f>Table242325[HARGA JUAL]*Table242325[SISA]</f>
        <v>25000</v>
      </c>
      <c r="L22" s="25">
        <f>Table242325[HARGA POKOK]*Table242325[STOK]</f>
        <v>57000</v>
      </c>
      <c r="M22" s="25">
        <f>Table242325[HARGA JUAL]*Table242325[STOK]</f>
        <v>95000</v>
      </c>
    </row>
    <row r="23" spans="1:13" x14ac:dyDescent="0.25">
      <c r="A23" s="18">
        <v>19</v>
      </c>
      <c r="B23" s="19" t="s">
        <v>29</v>
      </c>
      <c r="C23" s="19" t="s">
        <v>54</v>
      </c>
      <c r="D23" s="21">
        <v>47500</v>
      </c>
      <c r="E23" s="21">
        <v>60000</v>
      </c>
      <c r="F23" s="12">
        <v>100</v>
      </c>
      <c r="G23" s="8"/>
      <c r="H23" s="12">
        <f>Table242325[STOK]-Table242325[TERJUAL]</f>
        <v>100</v>
      </c>
      <c r="I23" s="5">
        <f>(Table242325[HARGA JUAL]*Table242325[TERJUAL])-(Table242325[HARGA POKOK]*Table242325[TERJUAL])</f>
        <v>0</v>
      </c>
      <c r="J23" s="5">
        <f>(Table242325[HARGA JUAL]*Table242325[TERJUAL])</f>
        <v>0</v>
      </c>
      <c r="K23" s="5">
        <f>Table242325[HARGA JUAL]*Table242325[SISA]</f>
        <v>6000000</v>
      </c>
      <c r="L23" s="25">
        <f>Table242325[HARGA POKOK]*Table242325[STOK]</f>
        <v>4750000</v>
      </c>
      <c r="M23" s="25">
        <f>Table242325[HARGA JUAL]*Table242325[STOK]</f>
        <v>6000000</v>
      </c>
    </row>
    <row r="24" spans="1:13" x14ac:dyDescent="0.25">
      <c r="A24" s="22">
        <v>20</v>
      </c>
      <c r="B24" s="19" t="s">
        <v>29</v>
      </c>
      <c r="C24" s="19" t="s">
        <v>55</v>
      </c>
      <c r="D24" s="21">
        <v>133500</v>
      </c>
      <c r="E24" s="21">
        <v>143000</v>
      </c>
      <c r="F24" s="12">
        <v>7</v>
      </c>
      <c r="G24" s="8">
        <v>5</v>
      </c>
      <c r="H24" s="12">
        <f>Table242325[STOK]-Table242325[TERJUAL]</f>
        <v>2</v>
      </c>
      <c r="I24" s="5">
        <f>(Table242325[HARGA JUAL]*Table242325[TERJUAL])-(Table242325[HARGA POKOK]*Table242325[TERJUAL])</f>
        <v>47500</v>
      </c>
      <c r="J24" s="5">
        <f>(Table242325[HARGA JUAL]*Table242325[TERJUAL])</f>
        <v>715000</v>
      </c>
      <c r="K24" s="5">
        <f>Table242325[HARGA JUAL]*Table242325[SISA]</f>
        <v>286000</v>
      </c>
      <c r="L24" s="25">
        <f>Table242325[HARGA POKOK]*Table242325[STOK]</f>
        <v>934500</v>
      </c>
      <c r="M24" s="25">
        <f>Table242325[HARGA JUAL]*Table242325[STOK]</f>
        <v>1001000</v>
      </c>
    </row>
    <row r="25" spans="1:13" x14ac:dyDescent="0.25">
      <c r="A25" s="18">
        <v>21</v>
      </c>
      <c r="B25" s="19" t="s">
        <v>29</v>
      </c>
      <c r="C25" s="86" t="s">
        <v>56</v>
      </c>
      <c r="D25" s="24">
        <v>77500</v>
      </c>
      <c r="E25" s="24">
        <v>120000</v>
      </c>
      <c r="F25" s="13">
        <v>34</v>
      </c>
      <c r="G25" s="9">
        <v>9</v>
      </c>
      <c r="H25" s="13">
        <f>Table242325[STOK]-Table242325[TERJUAL]</f>
        <v>25</v>
      </c>
      <c r="I25" s="5">
        <f>(Table242325[HARGA JUAL]*Table242325[TERJUAL])-(Table242325[HARGA POKOK]*Table242325[TERJUAL])</f>
        <v>382500</v>
      </c>
      <c r="J25" s="4">
        <f>(Table242325[HARGA JUAL]*Table242325[TERJUAL])</f>
        <v>1080000</v>
      </c>
      <c r="K25" s="4">
        <f>Table242325[HARGA JUAL]*Table242325[SISA]</f>
        <v>3000000</v>
      </c>
      <c r="L25" s="25">
        <f>Table242325[HARGA POKOK]*Table242325[STOK]</f>
        <v>2635000</v>
      </c>
      <c r="M25" s="25">
        <f>Table242325[HARGA JUAL]*Table242325[STOK]</f>
        <v>4080000</v>
      </c>
    </row>
    <row r="26" spans="1:13" x14ac:dyDescent="0.25">
      <c r="A26" s="22">
        <v>22</v>
      </c>
      <c r="B26" s="19" t="s">
        <v>29</v>
      </c>
      <c r="C26" s="19" t="s">
        <v>57</v>
      </c>
      <c r="D26" s="21">
        <v>165000</v>
      </c>
      <c r="E26" s="21">
        <v>195000</v>
      </c>
      <c r="F26" s="12">
        <v>39</v>
      </c>
      <c r="G26" s="8">
        <v>2</v>
      </c>
      <c r="H26" s="12">
        <f>Table242325[STOK]-Table242325[TERJUAL]</f>
        <v>37</v>
      </c>
      <c r="I26" s="5">
        <f>(Table242325[HARGA JUAL]*Table242325[TERJUAL])-(Table242325[HARGA POKOK]*Table242325[TERJUAL])</f>
        <v>60000</v>
      </c>
      <c r="J26" s="5">
        <f>(Table242325[HARGA JUAL]*Table242325[TERJUAL])</f>
        <v>390000</v>
      </c>
      <c r="K26" s="5">
        <f>Table242325[HARGA JUAL]*Table242325[SISA]</f>
        <v>7215000</v>
      </c>
      <c r="L26" s="25">
        <f>Table242325[HARGA POKOK]*Table242325[STOK]</f>
        <v>6435000</v>
      </c>
      <c r="M26" s="25">
        <f>Table242325[HARGA JUAL]*Table242325[STOK]</f>
        <v>7605000</v>
      </c>
    </row>
    <row r="27" spans="1:13" x14ac:dyDescent="0.25">
      <c r="A27" s="18">
        <v>23</v>
      </c>
      <c r="B27" s="19" t="s">
        <v>30</v>
      </c>
      <c r="C27" s="19" t="s">
        <v>58</v>
      </c>
      <c r="D27" s="21">
        <v>10000</v>
      </c>
      <c r="E27" s="21">
        <v>18000</v>
      </c>
      <c r="F27" s="12">
        <v>80</v>
      </c>
      <c r="G27" s="8">
        <v>10</v>
      </c>
      <c r="H27" s="12">
        <f>Table242325[STOK]-Table242325[TERJUAL]</f>
        <v>70</v>
      </c>
      <c r="I27" s="5">
        <f>(Table242325[HARGA JUAL]*Table242325[TERJUAL])-(Table242325[HARGA POKOK]*Table242325[TERJUAL])</f>
        <v>80000</v>
      </c>
      <c r="J27" s="5">
        <f>(Table242325[HARGA JUAL]*Table242325[TERJUAL])</f>
        <v>180000</v>
      </c>
      <c r="K27" s="5">
        <f>Table242325[HARGA JUAL]*Table242325[SISA]</f>
        <v>1260000</v>
      </c>
      <c r="L27" s="25">
        <f>Table242325[HARGA POKOK]*Table242325[STOK]</f>
        <v>800000</v>
      </c>
      <c r="M27" s="25">
        <f>Table242325[HARGA JUAL]*Table242325[STOK]</f>
        <v>1440000</v>
      </c>
    </row>
    <row r="28" spans="1:13" x14ac:dyDescent="0.25">
      <c r="A28" s="22">
        <v>24</v>
      </c>
      <c r="B28" s="19" t="s">
        <v>30</v>
      </c>
      <c r="C28" s="19" t="s">
        <v>59</v>
      </c>
      <c r="D28" s="21">
        <v>27500</v>
      </c>
      <c r="E28" s="21">
        <v>45000</v>
      </c>
      <c r="F28" s="12">
        <v>40</v>
      </c>
      <c r="G28" s="8"/>
      <c r="H28" s="12">
        <f>Table242325[STOK]-Table242325[TERJUAL]</f>
        <v>40</v>
      </c>
      <c r="I28" s="5">
        <f>(Table242325[HARGA JUAL]*Table242325[TERJUAL])-(Table242325[HARGA POKOK]*Table242325[TERJUAL])</f>
        <v>0</v>
      </c>
      <c r="J28" s="5">
        <f>(Table242325[HARGA JUAL]*Table242325[TERJUAL])</f>
        <v>0</v>
      </c>
      <c r="K28" s="5">
        <f>Table242325[HARGA JUAL]*Table242325[SISA]</f>
        <v>1800000</v>
      </c>
      <c r="L28" s="25">
        <f>Table242325[HARGA POKOK]*Table242325[STOK]</f>
        <v>1100000</v>
      </c>
      <c r="M28" s="25">
        <f>Table242325[HARGA JUAL]*Table242325[STOK]</f>
        <v>1800000</v>
      </c>
    </row>
    <row r="29" spans="1:13" x14ac:dyDescent="0.25">
      <c r="A29" s="18">
        <v>25</v>
      </c>
      <c r="B29" s="19" t="s">
        <v>30</v>
      </c>
      <c r="C29" s="19" t="s">
        <v>60</v>
      </c>
      <c r="D29" s="21">
        <v>12500</v>
      </c>
      <c r="E29" s="21">
        <v>16000</v>
      </c>
      <c r="F29" s="12">
        <v>19</v>
      </c>
      <c r="G29" s="8">
        <v>14</v>
      </c>
      <c r="H29" s="12">
        <f>Table242325[STOK]-Table242325[TERJUAL]</f>
        <v>5</v>
      </c>
      <c r="I29" s="5">
        <f>(Table242325[HARGA JUAL]*Table242325[TERJUAL])-(Table242325[HARGA POKOK]*Table242325[TERJUAL])</f>
        <v>49000</v>
      </c>
      <c r="J29" s="5">
        <f>(Table242325[HARGA JUAL]*Table242325[TERJUAL])</f>
        <v>224000</v>
      </c>
      <c r="K29" s="5">
        <f>Table242325[HARGA JUAL]*Table242325[SISA]</f>
        <v>80000</v>
      </c>
      <c r="L29" s="25">
        <f>Table242325[HARGA POKOK]*Table242325[STOK]</f>
        <v>237500</v>
      </c>
      <c r="M29" s="25">
        <f>Table242325[HARGA JUAL]*Table242325[STOK]</f>
        <v>304000</v>
      </c>
    </row>
    <row r="30" spans="1:13" x14ac:dyDescent="0.25">
      <c r="A30" s="22">
        <v>26</v>
      </c>
      <c r="B30" s="19" t="s">
        <v>30</v>
      </c>
      <c r="C30" s="19" t="s">
        <v>13</v>
      </c>
      <c r="D30" s="21">
        <v>33500</v>
      </c>
      <c r="E30" s="21">
        <v>50000</v>
      </c>
      <c r="F30" s="12">
        <v>39</v>
      </c>
      <c r="G30" s="8">
        <v>9</v>
      </c>
      <c r="H30" s="12">
        <f>Table242325[STOK]-Table242325[TERJUAL]</f>
        <v>30</v>
      </c>
      <c r="I30" s="5">
        <f>(Table242325[HARGA JUAL]*Table242325[TERJUAL])-(Table242325[HARGA POKOK]*Table242325[TERJUAL])</f>
        <v>148500</v>
      </c>
      <c r="J30" s="5">
        <f>(Table242325[HARGA JUAL]*Table242325[TERJUAL])</f>
        <v>450000</v>
      </c>
      <c r="K30" s="5">
        <f>Table242325[HARGA JUAL]*Table242325[SISA]</f>
        <v>1500000</v>
      </c>
      <c r="L30" s="25">
        <f>Table242325[HARGA POKOK]*Table242325[STOK]</f>
        <v>1306500</v>
      </c>
      <c r="M30" s="25">
        <f>Table242325[HARGA JUAL]*Table242325[STOK]</f>
        <v>1950000</v>
      </c>
    </row>
    <row r="31" spans="1:13" x14ac:dyDescent="0.25">
      <c r="A31" s="18">
        <v>27</v>
      </c>
      <c r="B31" s="19" t="s">
        <v>30</v>
      </c>
      <c r="C31" s="19" t="s">
        <v>14</v>
      </c>
      <c r="D31" s="21">
        <v>8500</v>
      </c>
      <c r="E31" s="21">
        <v>12000</v>
      </c>
      <c r="F31" s="12">
        <v>279</v>
      </c>
      <c r="G31" s="8">
        <v>19</v>
      </c>
      <c r="H31" s="12">
        <f>Table242325[STOK]-Table242325[TERJUAL]</f>
        <v>260</v>
      </c>
      <c r="I31" s="5">
        <f>(Table242325[HARGA JUAL]*Table242325[TERJUAL])-(Table242325[HARGA POKOK]*Table242325[TERJUAL])</f>
        <v>66500</v>
      </c>
      <c r="J31" s="5">
        <f>(Table242325[HARGA JUAL]*Table242325[TERJUAL])</f>
        <v>228000</v>
      </c>
      <c r="K31" s="5">
        <f>Table242325[HARGA JUAL]*Table242325[SISA]</f>
        <v>3120000</v>
      </c>
      <c r="L31" s="25">
        <f>Table242325[HARGA POKOK]*Table242325[STOK]</f>
        <v>2371500</v>
      </c>
      <c r="M31" s="25">
        <f>Table242325[HARGA JUAL]*Table242325[STOK]</f>
        <v>3348000</v>
      </c>
    </row>
    <row r="32" spans="1:13" x14ac:dyDescent="0.25">
      <c r="A32" s="22">
        <v>28</v>
      </c>
      <c r="B32" s="19" t="s">
        <v>30</v>
      </c>
      <c r="C32" s="19" t="s">
        <v>15</v>
      </c>
      <c r="D32" s="21">
        <v>30500</v>
      </c>
      <c r="E32" s="21">
        <v>45000</v>
      </c>
      <c r="F32" s="12">
        <v>42</v>
      </c>
      <c r="G32" s="8">
        <v>1</v>
      </c>
      <c r="H32" s="12">
        <f>Table242325[STOK]-Table242325[TERJUAL]</f>
        <v>41</v>
      </c>
      <c r="I32" s="5">
        <f>(Table242325[HARGA JUAL]*Table242325[TERJUAL])-(Table242325[HARGA POKOK]*Table242325[TERJUAL])</f>
        <v>14500</v>
      </c>
      <c r="J32" s="5">
        <f>(Table242325[HARGA JUAL]*Table242325[TERJUAL])</f>
        <v>45000</v>
      </c>
      <c r="K32" s="5">
        <f>Table242325[HARGA JUAL]*Table242325[SISA]</f>
        <v>1845000</v>
      </c>
      <c r="L32" s="25">
        <f>Table242325[HARGA POKOK]*Table242325[STOK]</f>
        <v>1281000</v>
      </c>
      <c r="M32" s="25">
        <f>Table242325[HARGA JUAL]*Table242325[STOK]</f>
        <v>1890000</v>
      </c>
    </row>
    <row r="33" spans="1:13" x14ac:dyDescent="0.25">
      <c r="A33" s="18">
        <v>29</v>
      </c>
      <c r="B33" s="19" t="s">
        <v>30</v>
      </c>
      <c r="C33" s="19" t="s">
        <v>16</v>
      </c>
      <c r="D33" s="21">
        <v>7500</v>
      </c>
      <c r="E33" s="21">
        <v>10000</v>
      </c>
      <c r="F33" s="12">
        <v>279</v>
      </c>
      <c r="G33" s="8">
        <v>29</v>
      </c>
      <c r="H33" s="12">
        <f>Table242325[STOK]-Table242325[TERJUAL]</f>
        <v>250</v>
      </c>
      <c r="I33" s="5">
        <f>(Table242325[HARGA JUAL]*Table242325[TERJUAL])-(Table242325[HARGA POKOK]*Table242325[TERJUAL])</f>
        <v>72500</v>
      </c>
      <c r="J33" s="5">
        <f>(Table242325[HARGA JUAL]*Table242325[TERJUAL])</f>
        <v>290000</v>
      </c>
      <c r="K33" s="5">
        <f>Table242325[HARGA JUAL]*Table242325[SISA]</f>
        <v>2500000</v>
      </c>
      <c r="L33" s="25">
        <f>Table242325[HARGA POKOK]*Table242325[STOK]</f>
        <v>2092500</v>
      </c>
      <c r="M33" s="25">
        <f>Table242325[HARGA JUAL]*Table242325[STOK]</f>
        <v>2790000</v>
      </c>
    </row>
    <row r="34" spans="1:13" x14ac:dyDescent="0.25">
      <c r="A34" s="22">
        <v>30</v>
      </c>
      <c r="B34" s="19" t="s">
        <v>35</v>
      </c>
      <c r="C34" s="19" t="s">
        <v>36</v>
      </c>
      <c r="D34" s="21">
        <v>51500</v>
      </c>
      <c r="E34" s="21">
        <v>65000</v>
      </c>
      <c r="F34" s="12">
        <v>9</v>
      </c>
      <c r="G34" s="8">
        <v>8</v>
      </c>
      <c r="H34" s="12">
        <f>Table242325[STOK]-Table242325[TERJUAL]</f>
        <v>1</v>
      </c>
      <c r="I34" s="5">
        <f>(Table242325[HARGA JUAL]*Table242325[TERJUAL])-(Table242325[HARGA POKOK]*Table242325[TERJUAL])</f>
        <v>108000</v>
      </c>
      <c r="J34" s="5">
        <f>(Table242325[HARGA JUAL]*Table242325[TERJUAL])</f>
        <v>520000</v>
      </c>
      <c r="K34" s="5">
        <f>Table242325[HARGA JUAL]*Table242325[SISA]</f>
        <v>65000</v>
      </c>
      <c r="L34" s="25">
        <f>Table242325[HARGA POKOK]*Table242325[STOK]</f>
        <v>463500</v>
      </c>
      <c r="M34" s="25">
        <f>Table242325[HARGA JUAL]*Table242325[STOK]</f>
        <v>585000</v>
      </c>
    </row>
    <row r="35" spans="1:13" x14ac:dyDescent="0.25">
      <c r="A35" s="18">
        <v>31</v>
      </c>
      <c r="B35" s="19" t="s">
        <v>31</v>
      </c>
      <c r="C35" s="19" t="s">
        <v>61</v>
      </c>
      <c r="D35" s="21">
        <v>20000</v>
      </c>
      <c r="E35" s="21">
        <v>30000</v>
      </c>
      <c r="F35" s="12">
        <v>24</v>
      </c>
      <c r="G35" s="8">
        <v>17</v>
      </c>
      <c r="H35" s="12">
        <f>Table242325[STOK]-Table242325[TERJUAL]</f>
        <v>7</v>
      </c>
      <c r="I35" s="5">
        <f>(Table242325[HARGA JUAL]*Table242325[TERJUAL])-(Table242325[HARGA POKOK]*Table242325[TERJUAL])</f>
        <v>170000</v>
      </c>
      <c r="J35" s="5">
        <f>(Table242325[HARGA JUAL]*Table242325[TERJUAL])</f>
        <v>510000</v>
      </c>
      <c r="K35" s="5">
        <f>Table242325[HARGA JUAL]*Table242325[SISA]</f>
        <v>210000</v>
      </c>
      <c r="L35" s="25">
        <f>Table242325[HARGA POKOK]*Table242325[STOK]</f>
        <v>480000</v>
      </c>
      <c r="M35" s="25">
        <f>Table242325[HARGA JUAL]*Table242325[STOK]</f>
        <v>720000</v>
      </c>
    </row>
    <row r="36" spans="1:13" x14ac:dyDescent="0.25">
      <c r="A36" s="22">
        <v>32</v>
      </c>
      <c r="B36" s="19" t="s">
        <v>31</v>
      </c>
      <c r="C36" s="19" t="s">
        <v>62</v>
      </c>
      <c r="D36" s="21">
        <v>30000</v>
      </c>
      <c r="E36" s="21">
        <v>40000</v>
      </c>
      <c r="F36" s="12">
        <v>5</v>
      </c>
      <c r="G36" s="8">
        <v>5</v>
      </c>
      <c r="H36" s="12">
        <f>Table242325[STOK]-Table242325[TERJUAL]</f>
        <v>0</v>
      </c>
      <c r="I36" s="5">
        <f>(Table242325[HARGA JUAL]*Table242325[TERJUAL])-(Table242325[HARGA POKOK]*Table242325[TERJUAL])</f>
        <v>50000</v>
      </c>
      <c r="J36" s="5">
        <f>(Table242325[HARGA JUAL]*Table242325[TERJUAL])</f>
        <v>200000</v>
      </c>
      <c r="K36" s="5">
        <f>Table242325[HARGA JUAL]*Table242325[SISA]</f>
        <v>0</v>
      </c>
      <c r="L36" s="25">
        <f>Table242325[HARGA POKOK]*Table242325[STOK]</f>
        <v>150000</v>
      </c>
      <c r="M36" s="25">
        <f>Table242325[HARGA JUAL]*Table242325[STOK]</f>
        <v>200000</v>
      </c>
    </row>
    <row r="37" spans="1:13" x14ac:dyDescent="0.25">
      <c r="A37" s="18">
        <v>33</v>
      </c>
      <c r="B37" s="19" t="s">
        <v>31</v>
      </c>
      <c r="C37" s="19" t="s">
        <v>63</v>
      </c>
      <c r="D37" s="21">
        <v>30000</v>
      </c>
      <c r="E37" s="21">
        <v>40000</v>
      </c>
      <c r="F37" s="12">
        <v>0</v>
      </c>
      <c r="G37" s="8"/>
      <c r="H37" s="12">
        <f>Table242325[STOK]-Table242325[TERJUAL]</f>
        <v>0</v>
      </c>
      <c r="I37" s="5">
        <f>(Table242325[HARGA JUAL]*Table242325[TERJUAL])-(Table242325[HARGA POKOK]*Table242325[TERJUAL])</f>
        <v>0</v>
      </c>
      <c r="J37" s="5">
        <f>(Table242325[HARGA JUAL]*Table242325[TERJUAL])</f>
        <v>0</v>
      </c>
      <c r="K37" s="5">
        <f>Table242325[HARGA JUAL]*Table242325[SISA]</f>
        <v>0</v>
      </c>
      <c r="L37" s="25">
        <f>Table242325[HARGA POKOK]*Table242325[STOK]</f>
        <v>0</v>
      </c>
      <c r="M37" s="25">
        <f>Table242325[HARGA JUAL]*Table242325[STOK]</f>
        <v>0</v>
      </c>
    </row>
    <row r="38" spans="1:13" x14ac:dyDescent="0.25">
      <c r="A38" s="22">
        <v>34</v>
      </c>
      <c r="B38" s="19" t="s">
        <v>31</v>
      </c>
      <c r="C38" s="19" t="s">
        <v>17</v>
      </c>
      <c r="D38" s="21">
        <v>30000</v>
      </c>
      <c r="E38" s="21">
        <v>40000</v>
      </c>
      <c r="F38" s="12">
        <v>0</v>
      </c>
      <c r="G38" s="8"/>
      <c r="H38" s="12">
        <f>Table242325[STOK]-Table242325[TERJUAL]</f>
        <v>0</v>
      </c>
      <c r="I38" s="5">
        <f>(Table242325[HARGA JUAL]*Table242325[TERJUAL])-(Table242325[HARGA POKOK]*Table242325[TERJUAL])</f>
        <v>0</v>
      </c>
      <c r="J38" s="5">
        <f>(Table242325[HARGA JUAL]*Table242325[TERJUAL])</f>
        <v>0</v>
      </c>
      <c r="K38" s="5">
        <f>Table242325[HARGA JUAL]*Table242325[SISA]</f>
        <v>0</v>
      </c>
      <c r="L38" s="25">
        <f>Table242325[HARGA POKOK]*Table242325[STOK]</f>
        <v>0</v>
      </c>
      <c r="M38" s="25">
        <f>Table242325[HARGA JUAL]*Table242325[STOK]</f>
        <v>0</v>
      </c>
    </row>
    <row r="39" spans="1:13" x14ac:dyDescent="0.25">
      <c r="A39" s="18">
        <v>35</v>
      </c>
      <c r="B39" s="19" t="s">
        <v>31</v>
      </c>
      <c r="C39" s="19" t="s">
        <v>64</v>
      </c>
      <c r="D39" s="21">
        <v>30000</v>
      </c>
      <c r="E39" s="21">
        <v>40000</v>
      </c>
      <c r="F39" s="12">
        <v>4</v>
      </c>
      <c r="G39" s="8">
        <v>4</v>
      </c>
      <c r="H39" s="12">
        <f>Table242325[STOK]-Table242325[TERJUAL]</f>
        <v>0</v>
      </c>
      <c r="I39" s="5">
        <f>(Table242325[HARGA JUAL]*Table242325[TERJUAL])-(Table242325[HARGA POKOK]*Table242325[TERJUAL])</f>
        <v>40000</v>
      </c>
      <c r="J39" s="5">
        <f>(Table242325[HARGA JUAL]*Table242325[TERJUAL])</f>
        <v>160000</v>
      </c>
      <c r="K39" s="5">
        <f>Table242325[HARGA JUAL]*Table242325[SISA]</f>
        <v>0</v>
      </c>
      <c r="L39" s="25">
        <f>Table242325[HARGA POKOK]*Table242325[STOK]</f>
        <v>120000</v>
      </c>
      <c r="M39" s="25">
        <f>Table242325[HARGA JUAL]*Table242325[STOK]</f>
        <v>160000</v>
      </c>
    </row>
    <row r="40" spans="1:13" x14ac:dyDescent="0.25">
      <c r="A40" s="22">
        <v>36</v>
      </c>
      <c r="B40" s="19" t="s">
        <v>31</v>
      </c>
      <c r="C40" s="19" t="s">
        <v>65</v>
      </c>
      <c r="D40" s="21">
        <v>30000</v>
      </c>
      <c r="E40" s="21">
        <v>40000</v>
      </c>
      <c r="F40" s="12">
        <v>6</v>
      </c>
      <c r="G40" s="8">
        <v>6</v>
      </c>
      <c r="H40" s="12">
        <f>Table242325[STOK]-Table242325[TERJUAL]</f>
        <v>0</v>
      </c>
      <c r="I40" s="5">
        <f>(Table242325[HARGA JUAL]*Table242325[TERJUAL])-(Table242325[HARGA POKOK]*Table242325[TERJUAL])</f>
        <v>60000</v>
      </c>
      <c r="J40" s="5">
        <f>(Table242325[HARGA JUAL]*Table242325[TERJUAL])</f>
        <v>240000</v>
      </c>
      <c r="K40" s="5">
        <f>Table242325[HARGA JUAL]*Table242325[SISA]</f>
        <v>0</v>
      </c>
      <c r="L40" s="25">
        <f>Table242325[HARGA POKOK]*Table242325[STOK]</f>
        <v>180000</v>
      </c>
      <c r="M40" s="25">
        <f>Table242325[HARGA JUAL]*Table242325[STOK]</f>
        <v>240000</v>
      </c>
    </row>
    <row r="41" spans="1:13" x14ac:dyDescent="0.25">
      <c r="A41" s="18">
        <v>37</v>
      </c>
      <c r="B41" s="19" t="s">
        <v>31</v>
      </c>
      <c r="C41" s="86" t="s">
        <v>66</v>
      </c>
      <c r="D41" s="24">
        <v>30000</v>
      </c>
      <c r="E41" s="24">
        <v>40000</v>
      </c>
      <c r="F41" s="13">
        <v>5</v>
      </c>
      <c r="G41" s="9"/>
      <c r="H41" s="13">
        <f>Table242325[STOK]-Table242325[TERJUAL]</f>
        <v>5</v>
      </c>
      <c r="I41" s="5">
        <f>(Table242325[HARGA JUAL]*Table242325[TERJUAL])-(Table242325[HARGA POKOK]*Table242325[TERJUAL])</f>
        <v>0</v>
      </c>
      <c r="J41" s="4">
        <f>(Table242325[HARGA JUAL]*Table242325[TERJUAL])</f>
        <v>0</v>
      </c>
      <c r="K41" s="4">
        <f>Table242325[HARGA JUAL]*Table242325[SISA]</f>
        <v>200000</v>
      </c>
      <c r="L41" s="25">
        <f>Table242325[HARGA POKOK]*Table242325[STOK]</f>
        <v>150000</v>
      </c>
      <c r="M41" s="25">
        <f>Table242325[HARGA JUAL]*Table242325[STOK]</f>
        <v>200000</v>
      </c>
    </row>
    <row r="42" spans="1:13" x14ac:dyDescent="0.25">
      <c r="A42" s="18"/>
      <c r="B42" s="19" t="s">
        <v>31</v>
      </c>
      <c r="C42" s="87" t="s">
        <v>134</v>
      </c>
      <c r="D42" s="24">
        <v>18000</v>
      </c>
      <c r="E42" s="24">
        <v>30000</v>
      </c>
      <c r="F42" s="13">
        <v>20</v>
      </c>
      <c r="G42" s="9">
        <v>4</v>
      </c>
      <c r="H42" s="13">
        <f>Table242325[STOK]-Table242325[TERJUAL]</f>
        <v>16</v>
      </c>
      <c r="I42" s="5">
        <f>(Table242325[HARGA JUAL]*Table242325[TERJUAL])-(Table242325[HARGA POKOK]*Table242325[TERJUAL])</f>
        <v>48000</v>
      </c>
      <c r="J42" s="4">
        <f>(Table242325[HARGA JUAL]*Table242325[TERJUAL])</f>
        <v>120000</v>
      </c>
      <c r="K42" s="4">
        <f>Table242325[HARGA JUAL]*Table242325[SISA]</f>
        <v>480000</v>
      </c>
      <c r="L42" s="25">
        <f>Table242325[HARGA POKOK]*Table242325[STOK]</f>
        <v>360000</v>
      </c>
      <c r="M42" s="25">
        <f>Table242325[HARGA JUAL]*Table242325[STOK]</f>
        <v>600000</v>
      </c>
    </row>
    <row r="43" spans="1:13" x14ac:dyDescent="0.25">
      <c r="A43" s="22">
        <v>38</v>
      </c>
      <c r="B43" s="19" t="s">
        <v>31</v>
      </c>
      <c r="C43" s="19" t="s">
        <v>67</v>
      </c>
      <c r="D43" s="21">
        <v>27500</v>
      </c>
      <c r="E43" s="21">
        <v>40000</v>
      </c>
      <c r="F43" s="12">
        <v>83</v>
      </c>
      <c r="G43" s="8">
        <v>23</v>
      </c>
      <c r="H43" s="12">
        <f>Table242325[STOK]-Table242325[TERJUAL]</f>
        <v>60</v>
      </c>
      <c r="I43" s="5">
        <f>(Table242325[HARGA JUAL]*Table242325[TERJUAL])-(Table242325[HARGA POKOK]*Table242325[TERJUAL])</f>
        <v>287500</v>
      </c>
      <c r="J43" s="5">
        <f>(Table242325[HARGA JUAL]*Table242325[TERJUAL])</f>
        <v>920000</v>
      </c>
      <c r="K43" s="5">
        <f>Table242325[HARGA JUAL]*Table242325[SISA]</f>
        <v>2400000</v>
      </c>
      <c r="L43" s="25">
        <f>Table242325[HARGA POKOK]*Table242325[STOK]</f>
        <v>2282500</v>
      </c>
      <c r="M43" s="25">
        <f>Table242325[HARGA JUAL]*Table242325[STOK]</f>
        <v>3320000</v>
      </c>
    </row>
    <row r="44" spans="1:13" x14ac:dyDescent="0.25">
      <c r="A44" s="18">
        <v>39</v>
      </c>
      <c r="B44" s="19" t="s">
        <v>32</v>
      </c>
      <c r="C44" s="19" t="s">
        <v>18</v>
      </c>
      <c r="D44" s="21">
        <v>1700</v>
      </c>
      <c r="E44" s="21">
        <v>5000</v>
      </c>
      <c r="F44" s="12">
        <v>0</v>
      </c>
      <c r="G44" s="8"/>
      <c r="H44" s="12">
        <f>Table242325[STOK]-Table242325[TERJUAL]</f>
        <v>0</v>
      </c>
      <c r="I44" s="5">
        <f>(Table242325[HARGA JUAL]*Table242325[TERJUAL])-(Table242325[HARGA POKOK]*Table242325[TERJUAL])</f>
        <v>0</v>
      </c>
      <c r="J44" s="5">
        <f>(Table242325[HARGA JUAL]*Table242325[TERJUAL])</f>
        <v>0</v>
      </c>
      <c r="K44" s="5">
        <f>Table242325[HARGA JUAL]*Table242325[SISA]</f>
        <v>0</v>
      </c>
      <c r="L44" s="25">
        <f>Table242325[HARGA POKOK]*Table242325[STOK]</f>
        <v>0</v>
      </c>
      <c r="M44" s="25">
        <f>Table242325[HARGA JUAL]*Table242325[STOK]</f>
        <v>0</v>
      </c>
    </row>
    <row r="45" spans="1:13" x14ac:dyDescent="0.25">
      <c r="A45" s="22">
        <v>40</v>
      </c>
      <c r="B45" s="19" t="s">
        <v>32</v>
      </c>
      <c r="C45" s="19" t="s">
        <v>21</v>
      </c>
      <c r="D45" s="21">
        <v>30500</v>
      </c>
      <c r="E45" s="21">
        <v>45000</v>
      </c>
      <c r="F45" s="12">
        <v>1</v>
      </c>
      <c r="G45" s="8">
        <v>1</v>
      </c>
      <c r="H45" s="12">
        <f>Table242325[STOK]-Table242325[TERJUAL]</f>
        <v>0</v>
      </c>
      <c r="I45" s="5">
        <f>(Table242325[HARGA JUAL]*Table242325[TERJUAL])-(Table242325[HARGA POKOK]*Table242325[TERJUAL])</f>
        <v>14500</v>
      </c>
      <c r="J45" s="5">
        <f>(Table242325[HARGA JUAL]*Table242325[TERJUAL])</f>
        <v>45000</v>
      </c>
      <c r="K45" s="5">
        <f>Table242325[HARGA JUAL]*Table242325[SISA]</f>
        <v>0</v>
      </c>
      <c r="L45" s="25">
        <f>Table242325[HARGA POKOK]*Table242325[STOK]</f>
        <v>30500</v>
      </c>
      <c r="M45" s="25">
        <f>Table242325[HARGA JUAL]*Table242325[STOK]</f>
        <v>45000</v>
      </c>
    </row>
    <row r="46" spans="1:13" x14ac:dyDescent="0.25">
      <c r="A46" s="18">
        <v>41</v>
      </c>
      <c r="B46" s="19" t="s">
        <v>32</v>
      </c>
      <c r="C46" s="19" t="s">
        <v>20</v>
      </c>
      <c r="D46" s="21">
        <v>1500</v>
      </c>
      <c r="E46" s="21">
        <v>5000</v>
      </c>
      <c r="F46" s="12">
        <v>0</v>
      </c>
      <c r="G46" s="8"/>
      <c r="H46" s="12">
        <f>Table242325[STOK]-Table242325[TERJUAL]</f>
        <v>0</v>
      </c>
      <c r="I46" s="5">
        <f>(Table242325[HARGA JUAL]*Table242325[TERJUAL])-(Table242325[HARGA POKOK]*Table242325[TERJUAL])</f>
        <v>0</v>
      </c>
      <c r="J46" s="5">
        <f>(Table242325[HARGA JUAL]*Table242325[TERJUAL])</f>
        <v>0</v>
      </c>
      <c r="K46" s="5">
        <f>Table242325[HARGA JUAL]*Table242325[SISA]</f>
        <v>0</v>
      </c>
      <c r="L46" s="25">
        <f>Table242325[HARGA POKOK]*Table242325[STOK]</f>
        <v>0</v>
      </c>
      <c r="M46" s="25">
        <f>Table242325[HARGA JUAL]*Table242325[STOK]</f>
        <v>0</v>
      </c>
    </row>
    <row r="47" spans="1:13" x14ac:dyDescent="0.25">
      <c r="A47" s="22">
        <v>42</v>
      </c>
      <c r="B47" s="19" t="s">
        <v>32</v>
      </c>
      <c r="C47" s="19" t="s">
        <v>23</v>
      </c>
      <c r="D47" s="21">
        <v>30000</v>
      </c>
      <c r="E47" s="21">
        <v>40000</v>
      </c>
      <c r="F47" s="12">
        <v>5</v>
      </c>
      <c r="G47" s="8">
        <v>3</v>
      </c>
      <c r="H47" s="12">
        <f>Table242325[STOK]-Table242325[TERJUAL]</f>
        <v>2</v>
      </c>
      <c r="I47" s="5">
        <f>(Table242325[HARGA JUAL]*Table242325[TERJUAL])-(Table242325[HARGA POKOK]*Table242325[TERJUAL])</f>
        <v>30000</v>
      </c>
      <c r="J47" s="5">
        <f>(Table242325[HARGA JUAL]*Table242325[TERJUAL])</f>
        <v>120000</v>
      </c>
      <c r="K47" s="5">
        <f>Table242325[HARGA JUAL]*Table242325[SISA]</f>
        <v>80000</v>
      </c>
      <c r="L47" s="25">
        <f>Table242325[HARGA POKOK]*Table242325[STOK]</f>
        <v>150000</v>
      </c>
      <c r="M47" s="25">
        <f>Table242325[HARGA JUAL]*Table242325[STOK]</f>
        <v>200000</v>
      </c>
    </row>
    <row r="48" spans="1:13" x14ac:dyDescent="0.25">
      <c r="A48" s="18">
        <v>43</v>
      </c>
      <c r="B48" s="19" t="s">
        <v>32</v>
      </c>
      <c r="C48" s="19" t="s">
        <v>19</v>
      </c>
      <c r="D48" s="21">
        <v>1500</v>
      </c>
      <c r="E48" s="21">
        <v>5000</v>
      </c>
      <c r="F48" s="12">
        <v>0</v>
      </c>
      <c r="G48" s="8"/>
      <c r="H48" s="12">
        <f>Table242325[STOK]-Table242325[TERJUAL]</f>
        <v>0</v>
      </c>
      <c r="I48" s="5">
        <f>(Table242325[HARGA JUAL]*Table242325[TERJUAL])-(Table242325[HARGA POKOK]*Table242325[TERJUAL])</f>
        <v>0</v>
      </c>
      <c r="J48" s="5">
        <f>(Table242325[HARGA JUAL]*Table242325[TERJUAL])</f>
        <v>0</v>
      </c>
      <c r="K48" s="5">
        <f>Table242325[HARGA JUAL]*Table242325[SISA]</f>
        <v>0</v>
      </c>
      <c r="L48" s="25">
        <f>Table242325[HARGA POKOK]*Table242325[STOK]</f>
        <v>0</v>
      </c>
      <c r="M48" s="25">
        <f>Table242325[HARGA JUAL]*Table242325[STOK]</f>
        <v>0</v>
      </c>
    </row>
    <row r="49" spans="1:13" x14ac:dyDescent="0.25">
      <c r="A49" s="22">
        <v>44</v>
      </c>
      <c r="B49" s="19" t="s">
        <v>32</v>
      </c>
      <c r="C49" s="19" t="s">
        <v>22</v>
      </c>
      <c r="D49" s="21">
        <v>27500</v>
      </c>
      <c r="E49" s="21">
        <v>40000</v>
      </c>
      <c r="F49" s="12">
        <v>2</v>
      </c>
      <c r="G49" s="8"/>
      <c r="H49" s="12">
        <f>Table242325[STOK]-Table242325[TERJUAL]</f>
        <v>2</v>
      </c>
      <c r="I49" s="5">
        <f>(Table242325[HARGA JUAL]*Table242325[TERJUAL])-(Table242325[HARGA POKOK]*Table242325[TERJUAL])</f>
        <v>0</v>
      </c>
      <c r="J49" s="5">
        <f>(Table242325[HARGA JUAL]*Table242325[TERJUAL])</f>
        <v>0</v>
      </c>
      <c r="K49" s="5">
        <f>Table242325[HARGA JUAL]*Table242325[SISA]</f>
        <v>80000</v>
      </c>
      <c r="L49" s="25">
        <f>Table242325[HARGA POKOK]*Table242325[STOK]</f>
        <v>55000</v>
      </c>
      <c r="M49" s="25">
        <f>Table242325[HARGA JUAL]*Table242325[STOK]</f>
        <v>80000</v>
      </c>
    </row>
    <row r="50" spans="1:13" x14ac:dyDescent="0.25">
      <c r="A50" s="18">
        <v>45</v>
      </c>
      <c r="B50" s="19" t="s">
        <v>32</v>
      </c>
      <c r="C50" s="19" t="s">
        <v>24</v>
      </c>
      <c r="D50" s="21">
        <v>17500</v>
      </c>
      <c r="E50" s="21">
        <v>40000</v>
      </c>
      <c r="F50" s="12">
        <v>19</v>
      </c>
      <c r="G50" s="8">
        <v>2</v>
      </c>
      <c r="H50" s="12">
        <f>Table242325[STOK]-Table242325[TERJUAL]</f>
        <v>17</v>
      </c>
      <c r="I50" s="5">
        <f>(Table242325[HARGA JUAL]*Table242325[TERJUAL])-(Table242325[HARGA POKOK]*Table242325[TERJUAL])</f>
        <v>45000</v>
      </c>
      <c r="J50" s="5">
        <f>(Table242325[HARGA JUAL]*Table242325[TERJUAL])</f>
        <v>80000</v>
      </c>
      <c r="K50" s="5">
        <f>Table242325[HARGA JUAL]*Table242325[SISA]</f>
        <v>680000</v>
      </c>
      <c r="L50" s="25">
        <f>Table242325[HARGA POKOK]*Table242325[STOK]</f>
        <v>332500</v>
      </c>
      <c r="M50" s="25">
        <f>Table242325[HARGA JUAL]*Table242325[STOK]</f>
        <v>760000</v>
      </c>
    </row>
    <row r="51" spans="1:13" x14ac:dyDescent="0.25">
      <c r="A51" s="22">
        <v>46</v>
      </c>
      <c r="B51" s="86" t="s">
        <v>33</v>
      </c>
      <c r="C51" s="86" t="s">
        <v>37</v>
      </c>
      <c r="D51" s="24">
        <v>8700</v>
      </c>
      <c r="E51" s="24">
        <v>15000</v>
      </c>
      <c r="F51" s="13">
        <v>1</v>
      </c>
      <c r="G51" s="9">
        <v>1</v>
      </c>
      <c r="H51" s="13">
        <f>Table242325[STOK]-Table242325[TERJUAL]</f>
        <v>0</v>
      </c>
      <c r="I51" s="5">
        <f>(Table242325[HARGA JUAL]*Table242325[TERJUAL])-(Table242325[HARGA POKOK]*Table242325[TERJUAL])</f>
        <v>6300</v>
      </c>
      <c r="J51" s="4">
        <f>(Table242325[HARGA JUAL]*Table242325[TERJUAL])</f>
        <v>15000</v>
      </c>
      <c r="K51" s="4">
        <f>Table242325[HARGA JUAL]*Table242325[SISA]</f>
        <v>0</v>
      </c>
      <c r="L51" s="25">
        <f>Table242325[HARGA POKOK]*Table242325[STOK]</f>
        <v>8700</v>
      </c>
      <c r="M51" s="25">
        <f>Table242325[HARGA JUAL]*Table242325[STOK]</f>
        <v>15000</v>
      </c>
    </row>
    <row r="52" spans="1:13" x14ac:dyDescent="0.25">
      <c r="A52" s="18">
        <v>47</v>
      </c>
      <c r="B52" s="86" t="s">
        <v>33</v>
      </c>
      <c r="C52" s="19" t="s">
        <v>25</v>
      </c>
      <c r="D52" s="21">
        <v>8800</v>
      </c>
      <c r="E52" s="21">
        <v>15000</v>
      </c>
      <c r="F52" s="12">
        <v>5</v>
      </c>
      <c r="G52" s="8">
        <v>2</v>
      </c>
      <c r="H52" s="12">
        <f>Table242325[STOK]-Table242325[TERJUAL]</f>
        <v>3</v>
      </c>
      <c r="I52" s="5">
        <f>(Table242325[HARGA JUAL]*Table242325[TERJUAL])-(Table242325[HARGA POKOK]*Table242325[TERJUAL])</f>
        <v>12400</v>
      </c>
      <c r="J52" s="5">
        <f>(Table242325[HARGA JUAL]*Table242325[TERJUAL])</f>
        <v>30000</v>
      </c>
      <c r="K52" s="5">
        <f>Table242325[HARGA JUAL]*Table242325[SISA]</f>
        <v>45000</v>
      </c>
      <c r="L52" s="25">
        <f>Table242325[HARGA POKOK]*Table242325[STOK]</f>
        <v>44000</v>
      </c>
      <c r="M52" s="25">
        <f>Table242325[HARGA JUAL]*Table242325[STOK]</f>
        <v>75000</v>
      </c>
    </row>
    <row r="53" spans="1:13" x14ac:dyDescent="0.25">
      <c r="A53" s="22">
        <v>48</v>
      </c>
      <c r="B53" s="86" t="s">
        <v>33</v>
      </c>
      <c r="C53" s="19" t="s">
        <v>26</v>
      </c>
      <c r="D53" s="21">
        <v>315000</v>
      </c>
      <c r="E53" s="21">
        <v>475000</v>
      </c>
      <c r="F53" s="12">
        <v>139</v>
      </c>
      <c r="G53" s="8">
        <v>12</v>
      </c>
      <c r="H53" s="12">
        <f>Table242325[STOK]-Table242325[TERJUAL]</f>
        <v>127</v>
      </c>
      <c r="I53" s="5">
        <f>(Table242325[HARGA JUAL]*Table242325[TERJUAL])-(Table242325[HARGA POKOK]*Table242325[TERJUAL])</f>
        <v>1920000</v>
      </c>
      <c r="J53" s="5">
        <f>(Table242325[HARGA JUAL]*Table242325[TERJUAL])</f>
        <v>5700000</v>
      </c>
      <c r="K53" s="5">
        <f>Table242325[HARGA JUAL]*Table242325[SISA]</f>
        <v>60325000</v>
      </c>
      <c r="L53" s="25">
        <f>Table242325[HARGA POKOK]*Table242325[STOK]</f>
        <v>43785000</v>
      </c>
      <c r="M53" s="25">
        <f>Table242325[HARGA JUAL]*Table242325[STOK]</f>
        <v>66025000</v>
      </c>
    </row>
    <row r="54" spans="1:13" x14ac:dyDescent="0.25">
      <c r="A54" s="18">
        <v>49</v>
      </c>
      <c r="B54" s="86" t="s">
        <v>34</v>
      </c>
      <c r="C54" s="86" t="s">
        <v>78</v>
      </c>
      <c r="D54" s="24">
        <v>335000</v>
      </c>
      <c r="E54" s="24">
        <v>490000</v>
      </c>
      <c r="F54" s="13">
        <v>0</v>
      </c>
      <c r="G54" s="9"/>
      <c r="H54" s="13">
        <f>Table242325[STOK]-Table242325[TERJUAL]</f>
        <v>0</v>
      </c>
      <c r="I54" s="5">
        <f>(Table242325[HARGA JUAL]*Table242325[TERJUAL])-(Table242325[HARGA POKOK]*Table242325[TERJUAL])</f>
        <v>0</v>
      </c>
      <c r="J54" s="4">
        <f>(Table242325[HARGA JUAL]*Table242325[TERJUAL])</f>
        <v>0</v>
      </c>
      <c r="K54" s="4">
        <f>Table242325[HARGA JUAL]*Table242325[SISA]</f>
        <v>0</v>
      </c>
      <c r="L54" s="25">
        <f>Table242325[HARGA POKOK]*Table242325[STOK]</f>
        <v>0</v>
      </c>
      <c r="M54" s="25">
        <f>Table242325[HARGA JUAL]*Table242325[STOK]</f>
        <v>0</v>
      </c>
    </row>
    <row r="55" spans="1:13" x14ac:dyDescent="0.25">
      <c r="A55" s="29">
        <v>50</v>
      </c>
      <c r="B55" s="30" t="s">
        <v>40</v>
      </c>
      <c r="C55" s="30" t="s">
        <v>79</v>
      </c>
      <c r="D55" s="31">
        <v>30000</v>
      </c>
      <c r="E55" s="31">
        <v>40000</v>
      </c>
      <c r="F55" s="33">
        <v>-2</v>
      </c>
      <c r="G55" s="32">
        <v>4.5</v>
      </c>
      <c r="H55" s="33">
        <f>Table242325[STOK]-Table242325[TERJUAL]</f>
        <v>-6.5</v>
      </c>
      <c r="I55" s="34">
        <f>(Table242325[HARGA JUAL]*Table242325[TERJUAL])-(Table242325[HARGA POKOK]*Table242325[TERJUAL])</f>
        <v>45000</v>
      </c>
      <c r="J55" s="35">
        <f>(Table242325[HARGA JUAL]*Table242325[TERJUAL])</f>
        <v>180000</v>
      </c>
      <c r="K55" s="35"/>
      <c r="L55" s="36"/>
      <c r="M55" s="36"/>
    </row>
    <row r="56" spans="1:13" x14ac:dyDescent="0.25">
      <c r="A56" s="37">
        <v>51</v>
      </c>
      <c r="B56" s="30" t="s">
        <v>71</v>
      </c>
      <c r="C56" s="30" t="s">
        <v>70</v>
      </c>
      <c r="D56" s="31">
        <v>1000</v>
      </c>
      <c r="E56" s="31">
        <v>1700</v>
      </c>
      <c r="F56" s="33">
        <v>-20</v>
      </c>
      <c r="G56" s="32">
        <v>16</v>
      </c>
      <c r="H56" s="33">
        <f>Table242325[STOK]-Table242325[TERJUAL]</f>
        <v>-36</v>
      </c>
      <c r="I56" s="34">
        <f>(Table242325[HARGA JUAL]*Table242325[TERJUAL])-(Table242325[HARGA POKOK]*Table242325[TERJUAL])</f>
        <v>11200</v>
      </c>
      <c r="J56" s="35">
        <f>(Table242325[HARGA JUAL]*Table242325[TERJUAL])</f>
        <v>27200</v>
      </c>
      <c r="K56" s="35"/>
      <c r="L56" s="36"/>
      <c r="M56" s="36"/>
    </row>
    <row r="57" spans="1:13" x14ac:dyDescent="0.25">
      <c r="A57" s="29">
        <v>52</v>
      </c>
      <c r="B57" s="30" t="s">
        <v>68</v>
      </c>
      <c r="C57" s="30" t="s">
        <v>69</v>
      </c>
      <c r="D57" s="38">
        <v>6300</v>
      </c>
      <c r="E57" s="31">
        <v>10000</v>
      </c>
      <c r="F57" s="33">
        <v>-1273</v>
      </c>
      <c r="G57" s="32">
        <v>839.5</v>
      </c>
      <c r="H57" s="33">
        <f>Table242325[STOK]-Table242325[TERJUAL]</f>
        <v>-2112.5</v>
      </c>
      <c r="I57" s="34">
        <f>(Table242325[HARGA JUAL]*Table242325[TERJUAL])-(Table242325[HARGA POKOK]*Table242325[TERJUAL])</f>
        <v>3106150</v>
      </c>
      <c r="J57" s="35">
        <f>(Table242325[HARGA JUAL]*Table242325[TERJUAL])</f>
        <v>8395000</v>
      </c>
      <c r="K57" s="35"/>
      <c r="L57" s="36"/>
      <c r="M57" s="36"/>
    </row>
    <row r="58" spans="1:13" ht="15.75" thickBot="1" x14ac:dyDescent="0.3">
      <c r="A58" s="37">
        <v>53</v>
      </c>
      <c r="B58" s="30" t="s">
        <v>74</v>
      </c>
      <c r="C58" s="30" t="s">
        <v>80</v>
      </c>
      <c r="D58" s="38">
        <v>6700</v>
      </c>
      <c r="E58" s="31">
        <v>11000</v>
      </c>
      <c r="F58" s="33">
        <v>0</v>
      </c>
      <c r="G58" s="32"/>
      <c r="H58" s="33">
        <f>Table242325[STOK]-Table242325[TERJUAL]</f>
        <v>0</v>
      </c>
      <c r="I58" s="34">
        <f>(Table242325[HARGA JUAL]*Table242325[TERJUAL])-(Table242325[HARGA POKOK]*Table242325[TERJUAL])</f>
        <v>0</v>
      </c>
      <c r="J58" s="35">
        <f>(Table242325[HARGA JUAL]*Table242325[TERJUAL])</f>
        <v>0</v>
      </c>
      <c r="K58" s="35"/>
      <c r="L58" s="36"/>
      <c r="M58" s="36"/>
    </row>
    <row r="59" spans="1:13" ht="19.5" thickBot="1" x14ac:dyDescent="0.3">
      <c r="A59" s="378" t="s">
        <v>8</v>
      </c>
      <c r="B59" s="379"/>
      <c r="C59" s="379"/>
      <c r="D59" s="379"/>
      <c r="E59" s="380"/>
      <c r="F59" s="39"/>
      <c r="G59" s="39"/>
      <c r="H59" s="40"/>
      <c r="I59" s="41">
        <f>SUM(I5:I58)</f>
        <v>9122550</v>
      </c>
      <c r="J59" s="26">
        <f>SUM(J5:J58)</f>
        <v>30231200</v>
      </c>
      <c r="K59" s="41">
        <f>SUBTOTAL(109,Table242325[TOTAL HARGA SISA BARANG])</f>
        <v>160230000</v>
      </c>
      <c r="L59" s="42">
        <f>SUM(L5:L58)</f>
        <v>129847700</v>
      </c>
      <c r="M59" s="42">
        <f>SUM(M5:M54)</f>
        <v>181859000</v>
      </c>
    </row>
    <row r="60" spans="1:13" x14ac:dyDescent="0.25">
      <c r="B60" s="1"/>
      <c r="C60" s="3"/>
      <c r="G60" s="1"/>
      <c r="H60" s="11"/>
      <c r="I60" s="6"/>
      <c r="J60" s="6"/>
      <c r="K60" s="6"/>
      <c r="L60" s="1"/>
      <c r="M60" s="1"/>
    </row>
    <row r="61" spans="1:13" x14ac:dyDescent="0.25">
      <c r="A61" s="7"/>
      <c r="B61" s="55"/>
      <c r="C61" s="53"/>
      <c r="E61" s="386" t="s">
        <v>135</v>
      </c>
      <c r="F61" s="386"/>
      <c r="G61" s="386"/>
      <c r="H61" s="386"/>
      <c r="I61" s="386"/>
      <c r="J61" s="386"/>
      <c r="K61" s="85"/>
      <c r="L61" s="1"/>
      <c r="M61" s="1"/>
    </row>
    <row r="62" spans="1:13" x14ac:dyDescent="0.25">
      <c r="A62" s="7"/>
      <c r="C62" s="396" t="s">
        <v>148</v>
      </c>
      <c r="E62" s="388" t="s">
        <v>123</v>
      </c>
      <c r="F62" s="388"/>
      <c r="G62" s="388"/>
      <c r="H62" s="387"/>
      <c r="I62" s="387"/>
      <c r="J62" s="28"/>
      <c r="K62" s="28"/>
      <c r="L62" s="28"/>
      <c r="M62" s="7"/>
    </row>
    <row r="63" spans="1:13" x14ac:dyDescent="0.25">
      <c r="A63" s="7"/>
      <c r="C63" s="397"/>
      <c r="E63" s="388"/>
      <c r="F63" s="388"/>
      <c r="G63" s="388"/>
      <c r="H63" s="387">
        <v>165000</v>
      </c>
      <c r="I63" s="387"/>
      <c r="J63" s="393" t="s">
        <v>126</v>
      </c>
      <c r="K63" s="393"/>
      <c r="L63" s="393"/>
      <c r="M63" s="28"/>
    </row>
    <row r="64" spans="1:13" ht="30" x14ac:dyDescent="0.25">
      <c r="A64" s="7"/>
      <c r="B64" s="56"/>
      <c r="C64" s="103" t="s">
        <v>163</v>
      </c>
      <c r="E64" s="393"/>
      <c r="F64" s="393"/>
      <c r="G64" s="393"/>
      <c r="H64" s="387"/>
      <c r="I64" s="387"/>
      <c r="J64" s="393"/>
      <c r="K64" s="393"/>
      <c r="L64" s="393"/>
      <c r="M64" s="7"/>
    </row>
    <row r="65" spans="2:13" x14ac:dyDescent="0.25">
      <c r="B65" s="52"/>
      <c r="C65" s="53"/>
      <c r="E65" s="394" t="s">
        <v>8</v>
      </c>
      <c r="F65" s="394"/>
      <c r="G65" s="394"/>
      <c r="H65" s="395">
        <f>SUM(H62:H64)</f>
        <v>165000</v>
      </c>
      <c r="I65" s="395"/>
      <c r="J65" s="43"/>
      <c r="K65" s="7"/>
      <c r="L65" s="27"/>
      <c r="M65" s="1"/>
    </row>
    <row r="66" spans="2:13" x14ac:dyDescent="0.25">
      <c r="B66" s="52" t="s">
        <v>120</v>
      </c>
      <c r="C66" s="53"/>
      <c r="E66" s="43"/>
      <c r="F66" s="389"/>
      <c r="G66" s="389"/>
      <c r="H66" s="389"/>
      <c r="I66" s="389"/>
      <c r="J66" s="389"/>
      <c r="K66" s="27"/>
      <c r="L66" s="27"/>
      <c r="M66" s="1"/>
    </row>
    <row r="67" spans="2:13" x14ac:dyDescent="0.25">
      <c r="B67" s="1"/>
      <c r="C67" s="3"/>
      <c r="E67" s="43" t="s">
        <v>82</v>
      </c>
      <c r="F67" s="44"/>
      <c r="G67" s="390">
        <f>SUBTOTAL(109,Table242325[TOTAL H. B. LAKU TERJUAL])</f>
        <v>30231200</v>
      </c>
      <c r="H67" s="390"/>
      <c r="I67" s="390"/>
      <c r="J67" s="43"/>
      <c r="K67" s="7"/>
      <c r="L67" s="27"/>
      <c r="M67" s="1"/>
    </row>
    <row r="68" spans="2:13" x14ac:dyDescent="0.25">
      <c r="B68" s="1"/>
      <c r="C68" s="3"/>
      <c r="E68" s="43" t="s">
        <v>83</v>
      </c>
      <c r="F68" s="45" t="s">
        <v>84</v>
      </c>
      <c r="G68" s="391">
        <v>165000</v>
      </c>
      <c r="H68" s="391"/>
      <c r="I68" s="391"/>
      <c r="J68" s="43"/>
      <c r="K68" s="7"/>
      <c r="L68" s="27"/>
      <c r="M68" s="1"/>
    </row>
    <row r="69" spans="2:13" x14ac:dyDescent="0.25">
      <c r="B69" s="1"/>
      <c r="C69" s="3"/>
      <c r="E69" s="43" t="s">
        <v>8</v>
      </c>
      <c r="F69" s="43"/>
      <c r="G69" s="392">
        <f>(G67-G68)</f>
        <v>30066200</v>
      </c>
      <c r="H69" s="392"/>
      <c r="I69" s="392"/>
      <c r="J69" s="43"/>
      <c r="K69" s="7"/>
      <c r="L69" s="27"/>
      <c r="M69" s="1"/>
    </row>
    <row r="70" spans="2:13" x14ac:dyDescent="0.25">
      <c r="B70" s="1"/>
      <c r="C70" s="3"/>
      <c r="M70" s="1"/>
    </row>
    <row r="72" spans="2:13" ht="18.75" x14ac:dyDescent="0.3">
      <c r="C72" s="360" t="s">
        <v>99</v>
      </c>
      <c r="D72" s="360"/>
      <c r="E72" s="360"/>
      <c r="F72" s="360"/>
    </row>
    <row r="73" spans="2:13" ht="18.75" x14ac:dyDescent="0.3">
      <c r="C73" s="360" t="s">
        <v>133</v>
      </c>
      <c r="D73" s="360"/>
      <c r="E73" s="360"/>
      <c r="F73" s="360"/>
    </row>
    <row r="74" spans="2:13" ht="18.75" x14ac:dyDescent="0.3">
      <c r="C74" s="360" t="s">
        <v>75</v>
      </c>
      <c r="D74" s="360"/>
      <c r="E74" s="360"/>
      <c r="F74" s="360"/>
    </row>
    <row r="76" spans="2:13" ht="15.75" x14ac:dyDescent="0.25">
      <c r="C76" s="356" t="s">
        <v>111</v>
      </c>
      <c r="D76" s="357"/>
      <c r="E76" s="356" t="s">
        <v>77</v>
      </c>
      <c r="F76" s="357"/>
    </row>
    <row r="77" spans="2:13" ht="15.75" x14ac:dyDescent="0.25">
      <c r="C77" s="242" t="s">
        <v>103</v>
      </c>
      <c r="D77" s="243"/>
      <c r="E77" s="48"/>
      <c r="F77" s="48"/>
    </row>
    <row r="78" spans="2:13" ht="15.75" x14ac:dyDescent="0.25">
      <c r="C78" s="354" t="s">
        <v>102</v>
      </c>
      <c r="D78" s="355"/>
      <c r="E78" s="46">
        <v>30066200</v>
      </c>
      <c r="F78" s="46"/>
    </row>
    <row r="79" spans="2:13" ht="15.75" x14ac:dyDescent="0.25">
      <c r="C79" s="356" t="s">
        <v>104</v>
      </c>
      <c r="D79" s="357"/>
      <c r="E79" s="46"/>
      <c r="F79" s="47">
        <v>30066200</v>
      </c>
    </row>
    <row r="80" spans="2:13" ht="15.75" x14ac:dyDescent="0.25">
      <c r="C80" s="350" t="s">
        <v>106</v>
      </c>
      <c r="D80" s="351"/>
      <c r="E80" s="46"/>
      <c r="F80" s="46">
        <v>20943650</v>
      </c>
    </row>
    <row r="81" spans="3:6" ht="15.75" x14ac:dyDescent="0.25">
      <c r="C81" s="358" t="s">
        <v>114</v>
      </c>
      <c r="D81" s="359"/>
      <c r="E81" s="49"/>
      <c r="F81" s="50">
        <v>9122550</v>
      </c>
    </row>
    <row r="82" spans="3:6" ht="15.75" x14ac:dyDescent="0.25">
      <c r="C82" s="346" t="s">
        <v>105</v>
      </c>
      <c r="D82" s="347"/>
      <c r="E82" s="46"/>
      <c r="F82" s="54"/>
    </row>
    <row r="83" spans="3:6" ht="15.75" x14ac:dyDescent="0.25">
      <c r="C83" s="348" t="s">
        <v>97</v>
      </c>
      <c r="D83" s="349"/>
      <c r="E83" s="46">
        <v>2000000</v>
      </c>
      <c r="F83" s="46"/>
    </row>
    <row r="84" spans="3:6" ht="15.75" x14ac:dyDescent="0.25">
      <c r="C84" s="350" t="s">
        <v>98</v>
      </c>
      <c r="D84" s="351"/>
      <c r="E84" s="46">
        <v>400000</v>
      </c>
      <c r="F84" s="46"/>
    </row>
    <row r="85" spans="3:6" ht="15.75" x14ac:dyDescent="0.25">
      <c r="C85" s="344" t="s">
        <v>113</v>
      </c>
      <c r="D85" s="345"/>
      <c r="E85" s="46">
        <v>450000</v>
      </c>
      <c r="F85" s="46"/>
    </row>
    <row r="86" spans="3:6" ht="15.75" x14ac:dyDescent="0.25">
      <c r="C86" s="352" t="s">
        <v>107</v>
      </c>
      <c r="D86" s="353"/>
      <c r="E86" s="51" t="s">
        <v>117</v>
      </c>
      <c r="F86" s="47">
        <f>SUM(E83:E85)</f>
        <v>2850000</v>
      </c>
    </row>
    <row r="87" spans="3:6" ht="15.75" x14ac:dyDescent="0.25">
      <c r="C87" s="344" t="s">
        <v>108</v>
      </c>
      <c r="D87" s="345"/>
      <c r="E87" s="51"/>
      <c r="F87" s="51"/>
    </row>
    <row r="88" spans="3:6" ht="15.75" x14ac:dyDescent="0.25">
      <c r="C88" s="346" t="s">
        <v>109</v>
      </c>
      <c r="D88" s="347"/>
      <c r="E88" s="48"/>
      <c r="F88" s="50">
        <f>(F81-F86)</f>
        <v>6272550</v>
      </c>
    </row>
  </sheetData>
  <mergeCells count="34">
    <mergeCell ref="J64:L64"/>
    <mergeCell ref="E65:G65"/>
    <mergeCell ref="H65:I65"/>
    <mergeCell ref="F66:J66"/>
    <mergeCell ref="A1:N1"/>
    <mergeCell ref="A2:N2"/>
    <mergeCell ref="A59:E59"/>
    <mergeCell ref="E61:J61"/>
    <mergeCell ref="C62:C63"/>
    <mergeCell ref="E62:G63"/>
    <mergeCell ref="H62:I62"/>
    <mergeCell ref="H63:I63"/>
    <mergeCell ref="J63:L63"/>
    <mergeCell ref="G67:I67"/>
    <mergeCell ref="G68:I68"/>
    <mergeCell ref="G69:I69"/>
    <mergeCell ref="E64:G64"/>
    <mergeCell ref="H64:I64"/>
    <mergeCell ref="C72:F72"/>
    <mergeCell ref="C73:F73"/>
    <mergeCell ref="C74:F74"/>
    <mergeCell ref="C76:D76"/>
    <mergeCell ref="E76:F76"/>
    <mergeCell ref="C78:D78"/>
    <mergeCell ref="C79:D79"/>
    <mergeCell ref="C80:D80"/>
    <mergeCell ref="C81:D81"/>
    <mergeCell ref="C82:D82"/>
    <mergeCell ref="C88:D88"/>
    <mergeCell ref="C83:D83"/>
    <mergeCell ref="C84:D84"/>
    <mergeCell ref="C85:D85"/>
    <mergeCell ref="C86:D86"/>
    <mergeCell ref="C87:D87"/>
  </mergeCells>
  <pageMargins left="0.7" right="0.7" top="0.75" bottom="0.75" header="0.3" footer="0.3"/>
  <pageSetup paperSize="256" scale="61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7"/>
  <sheetViews>
    <sheetView workbookViewId="0">
      <selection activeCell="F9" sqref="F9"/>
    </sheetView>
  </sheetViews>
  <sheetFormatPr defaultRowHeight="15" x14ac:dyDescent="0.25"/>
  <cols>
    <col min="1" max="1" width="9.140625" customWidth="1"/>
    <col min="2" max="2" width="22.85546875" customWidth="1"/>
    <col min="3" max="3" width="27.140625" customWidth="1"/>
    <col min="4" max="4" width="23.28515625" customWidth="1"/>
    <col min="5" max="5" width="15.42578125" customWidth="1"/>
    <col min="6" max="6" width="10.85546875" customWidth="1"/>
    <col min="7" max="7" width="13.7109375" customWidth="1"/>
    <col min="8" max="8" width="8.8554687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136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15" t="s">
        <v>0</v>
      </c>
      <c r="B4" s="16" t="s">
        <v>1</v>
      </c>
      <c r="C4" s="17" t="s">
        <v>2</v>
      </c>
      <c r="D4" s="16" t="s">
        <v>119</v>
      </c>
      <c r="E4" s="16" t="s">
        <v>3</v>
      </c>
      <c r="F4" s="2" t="s">
        <v>4</v>
      </c>
      <c r="G4" s="2" t="s">
        <v>5</v>
      </c>
      <c r="H4" s="10" t="s">
        <v>6</v>
      </c>
      <c r="I4" s="14" t="s">
        <v>7</v>
      </c>
      <c r="J4" s="14" t="s">
        <v>115</v>
      </c>
      <c r="K4" s="14" t="s">
        <v>92</v>
      </c>
      <c r="L4" s="2" t="s">
        <v>116</v>
      </c>
      <c r="M4" s="2" t="s">
        <v>81</v>
      </c>
      <c r="N4" s="2" t="s">
        <v>72</v>
      </c>
    </row>
    <row r="5" spans="1:14" x14ac:dyDescent="0.25">
      <c r="A5" s="18">
        <v>1</v>
      </c>
      <c r="B5" s="19" t="s">
        <v>27</v>
      </c>
      <c r="C5" s="19" t="s">
        <v>41</v>
      </c>
      <c r="D5" s="20">
        <v>89000</v>
      </c>
      <c r="E5" s="21">
        <v>95000</v>
      </c>
      <c r="F5" s="12">
        <v>24</v>
      </c>
      <c r="G5" s="8">
        <v>22</v>
      </c>
      <c r="H5" s="12">
        <f>Table2423256[STOK]-Table2423256[TERJUAL]</f>
        <v>2</v>
      </c>
      <c r="I5" s="5">
        <f>(Table2423256[HARGA JUAL]*Table2423256[TERJUAL])-(Table2423256[HARGA POKOK]*Table2423256[TERJUAL])</f>
        <v>132000</v>
      </c>
      <c r="J5" s="5">
        <f>(Table2423256[HARGA JUAL]*Table2423256[TERJUAL])</f>
        <v>2090000</v>
      </c>
      <c r="K5" s="5">
        <f>Table2423256[HARGA JUAL]*Table2423256[SISA]</f>
        <v>190000</v>
      </c>
      <c r="L5" s="25">
        <f>Table2423256[HARGA POKOK]*Table2423256[STOK]</f>
        <v>2136000</v>
      </c>
      <c r="M5" s="25">
        <f>Table2423256[HARGA JUAL]*Table2423256[STOK]</f>
        <v>2280000</v>
      </c>
    </row>
    <row r="6" spans="1:14" x14ac:dyDescent="0.25">
      <c r="A6" s="22">
        <v>2</v>
      </c>
      <c r="B6" s="19" t="s">
        <v>27</v>
      </c>
      <c r="C6" s="88" t="s">
        <v>42</v>
      </c>
      <c r="D6" s="24">
        <v>58500</v>
      </c>
      <c r="E6" s="24">
        <v>80000</v>
      </c>
      <c r="F6" s="13">
        <f>Table242325[STOK]-Table242325[TERJUAL]</f>
        <v>19</v>
      </c>
      <c r="G6" s="9">
        <v>17</v>
      </c>
      <c r="H6" s="13">
        <f>Table2423256[STOK]-Table2423256[TERJUAL]</f>
        <v>2</v>
      </c>
      <c r="I6" s="5">
        <f>(Table2423256[HARGA JUAL]*Table2423256[TERJUAL])-(Table2423256[HARGA POKOK]*Table2423256[TERJUAL])</f>
        <v>365500</v>
      </c>
      <c r="J6" s="4">
        <f>(Table2423256[HARGA JUAL]*Table2423256[TERJUAL])</f>
        <v>1360000</v>
      </c>
      <c r="K6" s="4">
        <f>Table2423256[HARGA JUAL]*Table2423256[SISA]</f>
        <v>160000</v>
      </c>
      <c r="L6" s="25">
        <f>Table2423256[HARGA POKOK]*Table2423256[STOK]</f>
        <v>1111500</v>
      </c>
      <c r="M6" s="25">
        <f>Table2423256[HARGA JUAL]*Table2423256[STOK]</f>
        <v>1520000</v>
      </c>
    </row>
    <row r="7" spans="1:14" x14ac:dyDescent="0.25">
      <c r="A7" s="18">
        <v>3</v>
      </c>
      <c r="B7" s="19" t="s">
        <v>27</v>
      </c>
      <c r="C7" s="19" t="s">
        <v>43</v>
      </c>
      <c r="D7" s="21">
        <v>52500</v>
      </c>
      <c r="E7" s="21">
        <v>75000</v>
      </c>
      <c r="F7" s="12">
        <f>Table242325[STOK]-Table242325[TERJUAL]</f>
        <v>36</v>
      </c>
      <c r="G7" s="8">
        <v>1</v>
      </c>
      <c r="H7" s="12">
        <f>Table2423256[STOK]-Table2423256[TERJUAL]</f>
        <v>35</v>
      </c>
      <c r="I7" s="5">
        <f>(Table2423256[HARGA JUAL]*Table2423256[TERJUAL])-(Table2423256[HARGA POKOK]*Table2423256[TERJUAL])</f>
        <v>22500</v>
      </c>
      <c r="J7" s="5">
        <f>(Table2423256[HARGA JUAL]*Table2423256[TERJUAL])</f>
        <v>75000</v>
      </c>
      <c r="K7" s="5">
        <f>Table2423256[HARGA JUAL]*Table2423256[SISA]</f>
        <v>2625000</v>
      </c>
      <c r="L7" s="25">
        <f>Table2423256[HARGA POKOK]*Table2423256[STOK]</f>
        <v>1890000</v>
      </c>
      <c r="M7" s="25">
        <f>Table2423256[HARGA JUAL]*Table2423256[STOK]</f>
        <v>2700000</v>
      </c>
    </row>
    <row r="8" spans="1:14" x14ac:dyDescent="0.25">
      <c r="A8" s="22">
        <v>4</v>
      </c>
      <c r="B8" s="19" t="s">
        <v>27</v>
      </c>
      <c r="C8" s="19" t="s">
        <v>44</v>
      </c>
      <c r="D8" s="21">
        <v>72500</v>
      </c>
      <c r="E8" s="21">
        <v>80000</v>
      </c>
      <c r="F8" s="12">
        <v>14</v>
      </c>
      <c r="G8" s="8">
        <v>10</v>
      </c>
      <c r="H8" s="12">
        <f>Table2423256[STOK]-Table2423256[TERJUAL]</f>
        <v>4</v>
      </c>
      <c r="I8" s="5">
        <f>(Table2423256[HARGA JUAL]*Table2423256[TERJUAL])-(Table2423256[HARGA POKOK]*Table2423256[TERJUAL])</f>
        <v>75000</v>
      </c>
      <c r="J8" s="5">
        <f>(Table2423256[HARGA JUAL]*Table2423256[TERJUAL])</f>
        <v>800000</v>
      </c>
      <c r="K8" s="5">
        <f>Table2423256[HARGA JUAL]*Table2423256[SISA]</f>
        <v>320000</v>
      </c>
      <c r="L8" s="25">
        <f>Table2423256[HARGA POKOK]*Table2423256[STOK]</f>
        <v>1015000</v>
      </c>
      <c r="M8" s="25">
        <f>Table2423256[HARGA JUAL]*Table2423256[STOK]</f>
        <v>1120000</v>
      </c>
    </row>
    <row r="9" spans="1:14" x14ac:dyDescent="0.25">
      <c r="A9" s="18">
        <v>5</v>
      </c>
      <c r="B9" s="19" t="s">
        <v>27</v>
      </c>
      <c r="C9" s="19" t="s">
        <v>45</v>
      </c>
      <c r="D9" s="21">
        <v>58500</v>
      </c>
      <c r="E9" s="21">
        <v>80000</v>
      </c>
      <c r="F9" s="12">
        <v>33</v>
      </c>
      <c r="G9" s="8">
        <v>10</v>
      </c>
      <c r="H9" s="12">
        <f>Table2423256[STOK]-Table2423256[TERJUAL]</f>
        <v>23</v>
      </c>
      <c r="I9" s="5">
        <f>(Table2423256[HARGA JUAL]*Table2423256[TERJUAL])-(Table2423256[HARGA POKOK]*Table2423256[TERJUAL])</f>
        <v>215000</v>
      </c>
      <c r="J9" s="5">
        <f>(Table2423256[HARGA JUAL]*Table2423256[TERJUAL])</f>
        <v>800000</v>
      </c>
      <c r="K9" s="5">
        <f>Table2423256[HARGA JUAL]*Table2423256[SISA]</f>
        <v>1840000</v>
      </c>
      <c r="L9" s="25">
        <f>Table2423256[HARGA POKOK]*Table2423256[STOK]</f>
        <v>1930500</v>
      </c>
      <c r="M9" s="25">
        <f>Table2423256[HARGA JUAL]*Table2423256[STOK]</f>
        <v>2640000</v>
      </c>
    </row>
    <row r="10" spans="1:14" x14ac:dyDescent="0.25">
      <c r="A10" s="22">
        <v>6</v>
      </c>
      <c r="B10" s="19" t="s">
        <v>27</v>
      </c>
      <c r="C10" s="19" t="s">
        <v>46</v>
      </c>
      <c r="D10" s="21">
        <v>83500</v>
      </c>
      <c r="E10" s="21">
        <v>110000</v>
      </c>
      <c r="F10" s="12">
        <f>Table242325[STOK]-Table242325[TERJUAL]</f>
        <v>36</v>
      </c>
      <c r="G10" s="8">
        <v>2</v>
      </c>
      <c r="H10" s="12">
        <f>Table2423256[STOK]-Table2423256[TERJUAL]</f>
        <v>34</v>
      </c>
      <c r="I10" s="5">
        <f>(Table2423256[HARGA JUAL]*Table2423256[TERJUAL])-(Table2423256[HARGA POKOK]*Table2423256[TERJUAL])</f>
        <v>53000</v>
      </c>
      <c r="J10" s="5">
        <f>(Table2423256[HARGA JUAL]*Table2423256[TERJUAL])</f>
        <v>220000</v>
      </c>
      <c r="K10" s="5">
        <f>Table2423256[HARGA JUAL]*Table2423256[SISA]</f>
        <v>3740000</v>
      </c>
      <c r="L10" s="25">
        <f>Table2423256[HARGA POKOK]*Table2423256[STOK]</f>
        <v>3006000</v>
      </c>
      <c r="M10" s="25">
        <f>Table2423256[HARGA JUAL]*Table2423256[STOK]</f>
        <v>3960000</v>
      </c>
    </row>
    <row r="11" spans="1:14" x14ac:dyDescent="0.25">
      <c r="A11" s="18">
        <v>7</v>
      </c>
      <c r="B11" s="19" t="s">
        <v>28</v>
      </c>
      <c r="C11" s="19" t="s">
        <v>38</v>
      </c>
      <c r="D11" s="21">
        <v>88500</v>
      </c>
      <c r="E11" s="21">
        <v>115000</v>
      </c>
      <c r="F11" s="12">
        <f>Table242325[STOK]-Table242325[TERJUAL]</f>
        <v>14</v>
      </c>
      <c r="G11" s="8"/>
      <c r="H11" s="12">
        <f>Table2423256[STOK]-Table2423256[TERJUAL]</f>
        <v>14</v>
      </c>
      <c r="I11" s="5">
        <f>(Table2423256[HARGA JUAL]*Table2423256[TERJUAL])-(Table2423256[HARGA POKOK]*Table2423256[TERJUAL])</f>
        <v>0</v>
      </c>
      <c r="J11" s="5">
        <f>(Table2423256[HARGA JUAL]*Table2423256[TERJUAL])</f>
        <v>0</v>
      </c>
      <c r="K11" s="5">
        <f>Table2423256[HARGA JUAL]*Table2423256[SISA]</f>
        <v>1610000</v>
      </c>
      <c r="L11" s="25">
        <f>Table2423256[HARGA POKOK]*Table2423256[STOK]</f>
        <v>1239000</v>
      </c>
      <c r="M11" s="25">
        <f>Table2423256[HARGA JUAL]*Table2423256[STOK]</f>
        <v>1610000</v>
      </c>
    </row>
    <row r="12" spans="1:14" x14ac:dyDescent="0.25">
      <c r="A12" s="22">
        <v>8</v>
      </c>
      <c r="B12" s="88" t="s">
        <v>28</v>
      </c>
      <c r="C12" s="88" t="s">
        <v>10</v>
      </c>
      <c r="D12" s="24">
        <v>84500</v>
      </c>
      <c r="E12" s="24">
        <v>90000</v>
      </c>
      <c r="F12" s="13">
        <f>Table242325[STOK]-Table242325[TERJUAL]</f>
        <v>44</v>
      </c>
      <c r="G12" s="9">
        <v>4</v>
      </c>
      <c r="H12" s="13">
        <f>Table2423256[STOK]-Table2423256[TERJUAL]</f>
        <v>40</v>
      </c>
      <c r="I12" s="5">
        <f>(Table2423256[HARGA JUAL]*Table2423256[TERJUAL])-(Table2423256[HARGA POKOK]*Table2423256[TERJUAL])</f>
        <v>22000</v>
      </c>
      <c r="J12" s="4">
        <f>(Table2423256[HARGA JUAL]*Table2423256[TERJUAL])</f>
        <v>360000</v>
      </c>
      <c r="K12" s="4">
        <f>Table2423256[HARGA JUAL]*Table2423256[SISA]</f>
        <v>3600000</v>
      </c>
      <c r="L12" s="25">
        <f>Table2423256[HARGA POKOK]*Table2423256[STOK]</f>
        <v>3718000</v>
      </c>
      <c r="M12" s="25">
        <f>Table2423256[HARGA JUAL]*Table2423256[STOK]</f>
        <v>3960000</v>
      </c>
    </row>
    <row r="13" spans="1:14" x14ac:dyDescent="0.25">
      <c r="A13" s="18">
        <v>9</v>
      </c>
      <c r="B13" s="88" t="s">
        <v>28</v>
      </c>
      <c r="C13" s="19" t="s">
        <v>11</v>
      </c>
      <c r="D13" s="21">
        <v>158000</v>
      </c>
      <c r="E13" s="21">
        <v>180000</v>
      </c>
      <c r="F13" s="12">
        <f>Table242325[STOK]-Table242325[TERJUAL]</f>
        <v>0</v>
      </c>
      <c r="G13" s="8"/>
      <c r="H13" s="12">
        <f>Table2423256[STOK]-Table2423256[TERJUAL]</f>
        <v>0</v>
      </c>
      <c r="I13" s="5">
        <f>(Table2423256[HARGA JUAL]*Table2423256[TERJUAL])-(Table2423256[HARGA POKOK]*Table2423256[TERJUAL])</f>
        <v>0</v>
      </c>
      <c r="J13" s="5">
        <f>(Table2423256[HARGA JUAL]*Table2423256[TERJUAL])</f>
        <v>0</v>
      </c>
      <c r="K13" s="5">
        <f>Table2423256[HARGA JUAL]*Table2423256[SISA]</f>
        <v>0</v>
      </c>
      <c r="L13" s="25">
        <f>Table2423256[HARGA POKOK]*Table2423256[STOK]</f>
        <v>0</v>
      </c>
      <c r="M13" s="25">
        <f>Table2423256[HARGA JUAL]*Table2423256[STOK]</f>
        <v>0</v>
      </c>
    </row>
    <row r="14" spans="1:14" x14ac:dyDescent="0.25">
      <c r="A14" s="22">
        <v>10</v>
      </c>
      <c r="B14" s="88" t="s">
        <v>28</v>
      </c>
      <c r="C14" s="19" t="s">
        <v>12</v>
      </c>
      <c r="D14" s="21">
        <v>133000</v>
      </c>
      <c r="E14" s="21">
        <v>165000</v>
      </c>
      <c r="F14" s="12">
        <f>Table242325[STOK]-Table242325[TERJUAL]</f>
        <v>83</v>
      </c>
      <c r="G14" s="8">
        <v>5</v>
      </c>
      <c r="H14" s="12">
        <f>Table2423256[STOK]-Table2423256[TERJUAL]</f>
        <v>78</v>
      </c>
      <c r="I14" s="5">
        <f>(Table2423256[HARGA JUAL]*Table2423256[TERJUAL])-(Table2423256[HARGA POKOK]*Table2423256[TERJUAL])</f>
        <v>160000</v>
      </c>
      <c r="J14" s="5">
        <f>(Table2423256[HARGA JUAL]*Table2423256[TERJUAL])</f>
        <v>825000</v>
      </c>
      <c r="K14" s="5">
        <f>Table2423256[HARGA JUAL]*Table2423256[SISA]</f>
        <v>12870000</v>
      </c>
      <c r="L14" s="25">
        <f>Table2423256[HARGA POKOK]*Table2423256[STOK]</f>
        <v>11039000</v>
      </c>
      <c r="M14" s="25">
        <f>Table2423256[HARGA JUAL]*Table2423256[STOK]</f>
        <v>13695000</v>
      </c>
    </row>
    <row r="15" spans="1:14" x14ac:dyDescent="0.25">
      <c r="A15" s="18">
        <v>11</v>
      </c>
      <c r="B15" s="88" t="s">
        <v>28</v>
      </c>
      <c r="C15" s="19" t="s">
        <v>39</v>
      </c>
      <c r="D15" s="21">
        <v>33000</v>
      </c>
      <c r="E15" s="21">
        <v>40000</v>
      </c>
      <c r="F15" s="12">
        <v>20</v>
      </c>
      <c r="G15" s="8">
        <v>11</v>
      </c>
      <c r="H15" s="12">
        <f>Table2423256[STOK]-Table2423256[TERJUAL]</f>
        <v>9</v>
      </c>
      <c r="I15" s="5">
        <f>(Table2423256[HARGA JUAL]*Table2423256[TERJUAL])-(Table2423256[HARGA POKOK]*Table2423256[TERJUAL])</f>
        <v>77000</v>
      </c>
      <c r="J15" s="5">
        <f>(Table2423256[HARGA JUAL]*Table2423256[TERJUAL])</f>
        <v>440000</v>
      </c>
      <c r="K15" s="5">
        <f>Table2423256[HARGA JUAL]*Table2423256[SISA]</f>
        <v>360000</v>
      </c>
      <c r="L15" s="25">
        <f>Table2423256[HARGA POKOK]*Table2423256[STOK]</f>
        <v>660000</v>
      </c>
      <c r="M15" s="25">
        <f>Table2423256[HARGA JUAL]*Table2423256[STOK]</f>
        <v>800000</v>
      </c>
    </row>
    <row r="16" spans="1:14" x14ac:dyDescent="0.25">
      <c r="A16" s="22">
        <v>12</v>
      </c>
      <c r="B16" s="88" t="s">
        <v>28</v>
      </c>
      <c r="C16" s="19" t="s">
        <v>47</v>
      </c>
      <c r="D16" s="21">
        <v>66000</v>
      </c>
      <c r="E16" s="21">
        <v>85000</v>
      </c>
      <c r="F16" s="12">
        <f>Table242325[STOK]-Table242325[TERJUAL]</f>
        <v>67</v>
      </c>
      <c r="G16" s="8">
        <v>1</v>
      </c>
      <c r="H16" s="12">
        <f>Table2423256[STOK]-Table2423256[TERJUAL]</f>
        <v>66</v>
      </c>
      <c r="I16" s="5">
        <f>(Table2423256[HARGA JUAL]*Table2423256[TERJUAL])-(Table2423256[HARGA POKOK]*Table2423256[TERJUAL])</f>
        <v>19000</v>
      </c>
      <c r="J16" s="5">
        <f>(Table2423256[HARGA JUAL]*Table2423256[TERJUAL])</f>
        <v>85000</v>
      </c>
      <c r="K16" s="5">
        <f>Table2423256[HARGA JUAL]*Table2423256[SISA]</f>
        <v>5610000</v>
      </c>
      <c r="L16" s="25">
        <f>Table2423256[HARGA POKOK]*Table2423256[STOK]</f>
        <v>4422000</v>
      </c>
      <c r="M16" s="25">
        <f>Table2423256[HARGA JUAL]*Table2423256[STOK]</f>
        <v>5695000</v>
      </c>
    </row>
    <row r="17" spans="1:13" x14ac:dyDescent="0.25">
      <c r="A17" s="18">
        <v>13</v>
      </c>
      <c r="B17" s="88" t="s">
        <v>28</v>
      </c>
      <c r="C17" s="19" t="s">
        <v>48</v>
      </c>
      <c r="D17" s="21">
        <v>22500</v>
      </c>
      <c r="E17" s="21">
        <v>33000</v>
      </c>
      <c r="F17" s="12">
        <f>Table242325[STOK]-Table242325[TERJUAL]</f>
        <v>393</v>
      </c>
      <c r="G17" s="8">
        <v>4</v>
      </c>
      <c r="H17" s="12">
        <f>Table2423256[STOK]-Table2423256[TERJUAL]</f>
        <v>389</v>
      </c>
      <c r="I17" s="5">
        <f>(Table2423256[HARGA JUAL]*Table2423256[TERJUAL])-(Table2423256[HARGA POKOK]*Table2423256[TERJUAL])</f>
        <v>42000</v>
      </c>
      <c r="J17" s="5">
        <f>(Table2423256[HARGA JUAL]*Table2423256[TERJUAL])</f>
        <v>132000</v>
      </c>
      <c r="K17" s="5">
        <f>Table2423256[HARGA JUAL]*Table2423256[SISA]</f>
        <v>12837000</v>
      </c>
      <c r="L17" s="25">
        <f>Table2423256[HARGA POKOK]*Table2423256[STOK]</f>
        <v>8842500</v>
      </c>
      <c r="M17" s="25">
        <f>Table2423256[HARGA JUAL]*Table2423256[STOK]</f>
        <v>12969000</v>
      </c>
    </row>
    <row r="18" spans="1:13" x14ac:dyDescent="0.25">
      <c r="A18" s="22">
        <v>14</v>
      </c>
      <c r="B18" s="88" t="s">
        <v>28</v>
      </c>
      <c r="C18" s="19" t="s">
        <v>49</v>
      </c>
      <c r="D18" s="21">
        <v>56000</v>
      </c>
      <c r="E18" s="21">
        <v>80000</v>
      </c>
      <c r="F18" s="12">
        <f>Table242325[STOK]-Table242325[TERJUAL]</f>
        <v>77</v>
      </c>
      <c r="G18" s="8">
        <v>6</v>
      </c>
      <c r="H18" s="12">
        <f>Table2423256[STOK]-Table2423256[TERJUAL]</f>
        <v>71</v>
      </c>
      <c r="I18" s="5">
        <f>(Table2423256[HARGA JUAL]*Table2423256[TERJUAL])-(Table2423256[HARGA POKOK]*Table2423256[TERJUAL])</f>
        <v>144000</v>
      </c>
      <c r="J18" s="5">
        <f>(Table2423256[HARGA JUAL]*Table2423256[TERJUAL])</f>
        <v>480000</v>
      </c>
      <c r="K18" s="5">
        <f>Table2423256[HARGA JUAL]*Table2423256[SISA]</f>
        <v>5680000</v>
      </c>
      <c r="L18" s="25">
        <f>Table2423256[HARGA POKOK]*Table2423256[STOK]</f>
        <v>4312000</v>
      </c>
      <c r="M18" s="25">
        <f>Table2423256[HARGA JUAL]*Table2423256[STOK]</f>
        <v>6160000</v>
      </c>
    </row>
    <row r="19" spans="1:13" x14ac:dyDescent="0.25">
      <c r="A19" s="18">
        <v>15</v>
      </c>
      <c r="B19" s="88" t="s">
        <v>28</v>
      </c>
      <c r="C19" s="19" t="s">
        <v>50</v>
      </c>
      <c r="D19" s="21">
        <v>40000</v>
      </c>
      <c r="E19" s="21">
        <v>60000</v>
      </c>
      <c r="F19" s="12">
        <f>Table242325[STOK]-Table242325[TERJUAL]</f>
        <v>9</v>
      </c>
      <c r="G19" s="8">
        <v>1</v>
      </c>
      <c r="H19" s="12">
        <f>Table2423256[STOK]-Table2423256[TERJUAL]</f>
        <v>8</v>
      </c>
      <c r="I19" s="5">
        <f>(Table2423256[HARGA JUAL]*Table2423256[TERJUAL])-(Table2423256[HARGA POKOK]*Table2423256[TERJUAL])</f>
        <v>20000</v>
      </c>
      <c r="J19" s="5">
        <f>(Table2423256[HARGA JUAL]*Table2423256[TERJUAL])</f>
        <v>60000</v>
      </c>
      <c r="K19" s="5">
        <f>Table2423256[HARGA JUAL]*Table2423256[SISA]</f>
        <v>480000</v>
      </c>
      <c r="L19" s="25">
        <f>Table2423256[HARGA POKOK]*Table2423256[STOK]</f>
        <v>360000</v>
      </c>
      <c r="M19" s="25">
        <f>Table2423256[HARGA JUAL]*Table2423256[STOK]</f>
        <v>540000</v>
      </c>
    </row>
    <row r="20" spans="1:13" x14ac:dyDescent="0.25">
      <c r="A20" s="22">
        <v>16</v>
      </c>
      <c r="B20" s="88" t="s">
        <v>28</v>
      </c>
      <c r="C20" s="19" t="s">
        <v>51</v>
      </c>
      <c r="D20" s="21">
        <v>60000</v>
      </c>
      <c r="E20" s="21">
        <v>80000</v>
      </c>
      <c r="F20" s="12">
        <f>Table242325[STOK]-Table242325[TERJUAL]</f>
        <v>70</v>
      </c>
      <c r="G20" s="8"/>
      <c r="H20" s="12">
        <f>Table2423256[STOK]-Table2423256[TERJUAL]</f>
        <v>70</v>
      </c>
      <c r="I20" s="5">
        <f>(Table2423256[HARGA JUAL]*Table2423256[TERJUAL])-(Table2423256[HARGA POKOK]*Table2423256[TERJUAL])</f>
        <v>0</v>
      </c>
      <c r="J20" s="5">
        <f>(Table2423256[HARGA JUAL]*Table2423256[TERJUAL])</f>
        <v>0</v>
      </c>
      <c r="K20" s="5">
        <f>Table2423256[HARGA JUAL]*Table2423256[SISA]</f>
        <v>5600000</v>
      </c>
      <c r="L20" s="25">
        <f>Table2423256[HARGA POKOK]*Table2423256[STOK]</f>
        <v>4200000</v>
      </c>
      <c r="M20" s="25">
        <f>Table2423256[HARGA JUAL]*Table2423256[STOK]</f>
        <v>5600000</v>
      </c>
    </row>
    <row r="21" spans="1:13" x14ac:dyDescent="0.25">
      <c r="A21" s="18">
        <v>17</v>
      </c>
      <c r="B21" s="88" t="s">
        <v>28</v>
      </c>
      <c r="C21" s="19" t="s">
        <v>52</v>
      </c>
      <c r="D21" s="21">
        <v>30000</v>
      </c>
      <c r="E21" s="21">
        <v>45000</v>
      </c>
      <c r="F21" s="12">
        <f>Table242325[STOK]-Table242325[TERJUAL]</f>
        <v>93</v>
      </c>
      <c r="G21" s="8">
        <v>6</v>
      </c>
      <c r="H21" s="12">
        <f>Table2423256[STOK]-Table2423256[TERJUAL]</f>
        <v>87</v>
      </c>
      <c r="I21" s="5">
        <f>(Table2423256[HARGA JUAL]*Table2423256[TERJUAL])-(Table2423256[HARGA POKOK]*Table2423256[TERJUAL])</f>
        <v>90000</v>
      </c>
      <c r="J21" s="5">
        <f>(Table2423256[HARGA JUAL]*Table2423256[TERJUAL])</f>
        <v>270000</v>
      </c>
      <c r="K21" s="5">
        <f>Table2423256[HARGA JUAL]*Table2423256[SISA]</f>
        <v>3915000</v>
      </c>
      <c r="L21" s="25">
        <f>Table2423256[HARGA POKOK]*Table2423256[STOK]</f>
        <v>2790000</v>
      </c>
      <c r="M21" s="25">
        <f>Table2423256[HARGA JUAL]*Table2423256[STOK]</f>
        <v>4185000</v>
      </c>
    </row>
    <row r="22" spans="1:13" x14ac:dyDescent="0.25">
      <c r="A22" s="22">
        <v>18</v>
      </c>
      <c r="B22" s="88" t="s">
        <v>28</v>
      </c>
      <c r="C22" s="19" t="s">
        <v>53</v>
      </c>
      <c r="D22" s="21">
        <v>3000</v>
      </c>
      <c r="E22" s="21">
        <v>5000</v>
      </c>
      <c r="F22" s="12">
        <f>Table242325[STOK]-Table242325[TERJUAL]</f>
        <v>5</v>
      </c>
      <c r="G22" s="8">
        <v>4</v>
      </c>
      <c r="H22" s="12">
        <f>Table2423256[STOK]-Table2423256[TERJUAL]</f>
        <v>1</v>
      </c>
      <c r="I22" s="5">
        <f>(Table2423256[HARGA JUAL]*Table2423256[TERJUAL])-(Table2423256[HARGA POKOK]*Table2423256[TERJUAL])</f>
        <v>8000</v>
      </c>
      <c r="J22" s="5">
        <f>(Table2423256[HARGA JUAL]*Table2423256[TERJUAL])</f>
        <v>20000</v>
      </c>
      <c r="K22" s="5">
        <f>Table2423256[HARGA JUAL]*Table2423256[SISA]</f>
        <v>5000</v>
      </c>
      <c r="L22" s="25">
        <f>Table2423256[HARGA POKOK]*Table2423256[STOK]</f>
        <v>15000</v>
      </c>
      <c r="M22" s="25">
        <f>Table2423256[HARGA JUAL]*Table2423256[STOK]</f>
        <v>25000</v>
      </c>
    </row>
    <row r="23" spans="1:13" x14ac:dyDescent="0.25">
      <c r="A23" s="18">
        <v>19</v>
      </c>
      <c r="B23" s="19" t="s">
        <v>29</v>
      </c>
      <c r="C23" s="19" t="s">
        <v>54</v>
      </c>
      <c r="D23" s="21">
        <v>47500</v>
      </c>
      <c r="E23" s="21">
        <v>60000</v>
      </c>
      <c r="F23" s="12">
        <f>Table242325[STOK]-Table242325[TERJUAL]</f>
        <v>100</v>
      </c>
      <c r="G23" s="8"/>
      <c r="H23" s="12">
        <f>Table2423256[STOK]-Table2423256[TERJUAL]</f>
        <v>100</v>
      </c>
      <c r="I23" s="5">
        <f>(Table2423256[HARGA JUAL]*Table2423256[TERJUAL])-(Table2423256[HARGA POKOK]*Table2423256[TERJUAL])</f>
        <v>0</v>
      </c>
      <c r="J23" s="5">
        <f>(Table2423256[HARGA JUAL]*Table2423256[TERJUAL])</f>
        <v>0</v>
      </c>
      <c r="K23" s="5">
        <f>Table2423256[HARGA JUAL]*Table2423256[SISA]</f>
        <v>6000000</v>
      </c>
      <c r="L23" s="25">
        <f>Table2423256[HARGA POKOK]*Table2423256[STOK]</f>
        <v>4750000</v>
      </c>
      <c r="M23" s="25">
        <f>Table2423256[HARGA JUAL]*Table2423256[STOK]</f>
        <v>6000000</v>
      </c>
    </row>
    <row r="24" spans="1:13" x14ac:dyDescent="0.25">
      <c r="A24" s="22">
        <v>20</v>
      </c>
      <c r="B24" s="19" t="s">
        <v>29</v>
      </c>
      <c r="C24" s="19" t="s">
        <v>55</v>
      </c>
      <c r="D24" s="21">
        <v>133500</v>
      </c>
      <c r="E24" s="21">
        <v>143000</v>
      </c>
      <c r="F24" s="12">
        <f>Table242325[STOK]-Table242325[TERJUAL]</f>
        <v>2</v>
      </c>
      <c r="G24" s="8">
        <v>1</v>
      </c>
      <c r="H24" s="12">
        <f>Table2423256[STOK]-Table2423256[TERJUAL]</f>
        <v>1</v>
      </c>
      <c r="I24" s="5">
        <f>(Table2423256[HARGA JUAL]*Table2423256[TERJUAL])-(Table2423256[HARGA POKOK]*Table2423256[TERJUAL])</f>
        <v>9500</v>
      </c>
      <c r="J24" s="5">
        <f>(Table2423256[HARGA JUAL]*Table2423256[TERJUAL])</f>
        <v>143000</v>
      </c>
      <c r="K24" s="5">
        <f>Table2423256[HARGA JUAL]*Table2423256[SISA]</f>
        <v>143000</v>
      </c>
      <c r="L24" s="25">
        <f>Table2423256[HARGA POKOK]*Table2423256[STOK]</f>
        <v>267000</v>
      </c>
      <c r="M24" s="25">
        <f>Table2423256[HARGA JUAL]*Table2423256[STOK]</f>
        <v>286000</v>
      </c>
    </row>
    <row r="25" spans="1:13" x14ac:dyDescent="0.25">
      <c r="A25" s="18">
        <v>21</v>
      </c>
      <c r="B25" s="19" t="s">
        <v>29</v>
      </c>
      <c r="C25" s="88" t="s">
        <v>56</v>
      </c>
      <c r="D25" s="24">
        <v>77500</v>
      </c>
      <c r="E25" s="24">
        <v>120000</v>
      </c>
      <c r="F25" s="13">
        <f>Table242325[STOK]-Table242325[TERJUAL]</f>
        <v>25</v>
      </c>
      <c r="G25" s="9">
        <v>21</v>
      </c>
      <c r="H25" s="13">
        <f>Table2423256[STOK]-Table2423256[TERJUAL]</f>
        <v>4</v>
      </c>
      <c r="I25" s="5">
        <f>(Table2423256[HARGA JUAL]*Table2423256[TERJUAL])-(Table2423256[HARGA POKOK]*Table2423256[TERJUAL])</f>
        <v>892500</v>
      </c>
      <c r="J25" s="4">
        <f>(Table2423256[HARGA JUAL]*Table2423256[TERJUAL])</f>
        <v>2520000</v>
      </c>
      <c r="K25" s="4">
        <f>Table2423256[HARGA JUAL]*Table2423256[SISA]</f>
        <v>480000</v>
      </c>
      <c r="L25" s="25">
        <f>Table2423256[HARGA POKOK]*Table2423256[STOK]</f>
        <v>1937500</v>
      </c>
      <c r="M25" s="25">
        <f>Table2423256[HARGA JUAL]*Table2423256[STOK]</f>
        <v>3000000</v>
      </c>
    </row>
    <row r="26" spans="1:13" x14ac:dyDescent="0.25">
      <c r="A26" s="22">
        <v>22</v>
      </c>
      <c r="B26" s="19" t="s">
        <v>29</v>
      </c>
      <c r="C26" s="19" t="s">
        <v>57</v>
      </c>
      <c r="D26" s="21">
        <v>165000</v>
      </c>
      <c r="E26" s="21">
        <v>190000</v>
      </c>
      <c r="F26" s="12">
        <v>34</v>
      </c>
      <c r="G26" s="8">
        <v>3</v>
      </c>
      <c r="H26" s="12">
        <f>Table2423256[STOK]-Table2423256[TERJUAL]</f>
        <v>31</v>
      </c>
      <c r="I26" s="5">
        <f>(Table2423256[HARGA JUAL]*Table2423256[TERJUAL])-(Table2423256[HARGA POKOK]*Table2423256[TERJUAL])</f>
        <v>75000</v>
      </c>
      <c r="J26" s="5">
        <f>(Table2423256[HARGA JUAL]*Table2423256[TERJUAL])</f>
        <v>570000</v>
      </c>
      <c r="K26" s="5">
        <f>Table2423256[HARGA JUAL]*Table2423256[SISA]</f>
        <v>5890000</v>
      </c>
      <c r="L26" s="25">
        <f>Table2423256[HARGA POKOK]*Table2423256[STOK]</f>
        <v>5610000</v>
      </c>
      <c r="M26" s="25">
        <f>Table2423256[HARGA JUAL]*Table2423256[STOK]</f>
        <v>6460000</v>
      </c>
    </row>
    <row r="27" spans="1:13" x14ac:dyDescent="0.25">
      <c r="A27" s="18">
        <v>23</v>
      </c>
      <c r="B27" s="19" t="s">
        <v>30</v>
      </c>
      <c r="C27" s="19" t="s">
        <v>58</v>
      </c>
      <c r="D27" s="21">
        <v>10000</v>
      </c>
      <c r="E27" s="21">
        <v>18000</v>
      </c>
      <c r="F27" s="12">
        <f>Table242325[STOK]-Table242325[TERJUAL]</f>
        <v>70</v>
      </c>
      <c r="G27" s="8">
        <v>8</v>
      </c>
      <c r="H27" s="12">
        <f>Table2423256[STOK]-Table2423256[TERJUAL]</f>
        <v>62</v>
      </c>
      <c r="I27" s="5">
        <f>(Table2423256[HARGA JUAL]*Table2423256[TERJUAL])-(Table2423256[HARGA POKOK]*Table2423256[TERJUAL])</f>
        <v>64000</v>
      </c>
      <c r="J27" s="5">
        <f>(Table2423256[HARGA JUAL]*Table2423256[TERJUAL])</f>
        <v>144000</v>
      </c>
      <c r="K27" s="5">
        <f>Table2423256[HARGA JUAL]*Table2423256[SISA]</f>
        <v>1116000</v>
      </c>
      <c r="L27" s="25">
        <f>Table2423256[HARGA POKOK]*Table2423256[STOK]</f>
        <v>700000</v>
      </c>
      <c r="M27" s="25">
        <f>Table2423256[HARGA JUAL]*Table2423256[STOK]</f>
        <v>1260000</v>
      </c>
    </row>
    <row r="28" spans="1:13" x14ac:dyDescent="0.25">
      <c r="A28" s="22">
        <v>24</v>
      </c>
      <c r="B28" s="19" t="s">
        <v>30</v>
      </c>
      <c r="C28" s="19" t="s">
        <v>59</v>
      </c>
      <c r="D28" s="21">
        <v>27500</v>
      </c>
      <c r="E28" s="21">
        <v>45000</v>
      </c>
      <c r="F28" s="12">
        <f>Table242325[STOK]-Table242325[TERJUAL]</f>
        <v>40</v>
      </c>
      <c r="G28" s="8">
        <v>3</v>
      </c>
      <c r="H28" s="12">
        <f>Table2423256[STOK]-Table2423256[TERJUAL]</f>
        <v>37</v>
      </c>
      <c r="I28" s="5">
        <f>(Table2423256[HARGA JUAL]*Table2423256[TERJUAL])-(Table2423256[HARGA POKOK]*Table2423256[TERJUAL])</f>
        <v>52500</v>
      </c>
      <c r="J28" s="5">
        <f>(Table2423256[HARGA JUAL]*Table2423256[TERJUAL])</f>
        <v>135000</v>
      </c>
      <c r="K28" s="5">
        <f>Table2423256[HARGA JUAL]*Table2423256[SISA]</f>
        <v>1665000</v>
      </c>
      <c r="L28" s="25">
        <f>Table2423256[HARGA POKOK]*Table2423256[STOK]</f>
        <v>1100000</v>
      </c>
      <c r="M28" s="25">
        <f>Table2423256[HARGA JUAL]*Table2423256[STOK]</f>
        <v>1800000</v>
      </c>
    </row>
    <row r="29" spans="1:13" x14ac:dyDescent="0.25">
      <c r="A29" s="18">
        <v>25</v>
      </c>
      <c r="B29" s="19" t="s">
        <v>30</v>
      </c>
      <c r="C29" s="19" t="s">
        <v>60</v>
      </c>
      <c r="D29" s="21">
        <v>12500</v>
      </c>
      <c r="E29" s="21">
        <v>16000</v>
      </c>
      <c r="F29" s="12">
        <f>Table242325[STOK]-Table242325[TERJUAL]</f>
        <v>5</v>
      </c>
      <c r="G29" s="8"/>
      <c r="H29" s="12">
        <f>Table2423256[STOK]-Table2423256[TERJUAL]</f>
        <v>5</v>
      </c>
      <c r="I29" s="5">
        <f>(Table2423256[HARGA JUAL]*Table2423256[TERJUAL])-(Table2423256[HARGA POKOK]*Table2423256[TERJUAL])</f>
        <v>0</v>
      </c>
      <c r="J29" s="5">
        <f>(Table2423256[HARGA JUAL]*Table2423256[TERJUAL])</f>
        <v>0</v>
      </c>
      <c r="K29" s="5">
        <f>Table2423256[HARGA JUAL]*Table2423256[SISA]</f>
        <v>80000</v>
      </c>
      <c r="L29" s="25">
        <f>Table2423256[HARGA POKOK]*Table2423256[STOK]</f>
        <v>62500</v>
      </c>
      <c r="M29" s="25">
        <f>Table2423256[HARGA JUAL]*Table2423256[STOK]</f>
        <v>80000</v>
      </c>
    </row>
    <row r="30" spans="1:13" x14ac:dyDescent="0.25">
      <c r="A30" s="22">
        <v>26</v>
      </c>
      <c r="B30" s="19" t="s">
        <v>30</v>
      </c>
      <c r="C30" s="19" t="s">
        <v>13</v>
      </c>
      <c r="D30" s="21">
        <v>33500</v>
      </c>
      <c r="E30" s="21">
        <v>50000</v>
      </c>
      <c r="F30" s="12">
        <f>Table242325[STOK]-Table242325[TERJUAL]</f>
        <v>30</v>
      </c>
      <c r="G30" s="8">
        <v>3</v>
      </c>
      <c r="H30" s="12">
        <f>Table2423256[STOK]-Table2423256[TERJUAL]</f>
        <v>27</v>
      </c>
      <c r="I30" s="5">
        <f>(Table2423256[HARGA JUAL]*Table2423256[TERJUAL])-(Table2423256[HARGA POKOK]*Table2423256[TERJUAL])</f>
        <v>49500</v>
      </c>
      <c r="J30" s="5">
        <f>(Table2423256[HARGA JUAL]*Table2423256[TERJUAL])</f>
        <v>150000</v>
      </c>
      <c r="K30" s="5">
        <f>Table2423256[HARGA JUAL]*Table2423256[SISA]</f>
        <v>1350000</v>
      </c>
      <c r="L30" s="25">
        <f>Table2423256[HARGA POKOK]*Table2423256[STOK]</f>
        <v>1005000</v>
      </c>
      <c r="M30" s="25">
        <f>Table2423256[HARGA JUAL]*Table2423256[STOK]</f>
        <v>1500000</v>
      </c>
    </row>
    <row r="31" spans="1:13" x14ac:dyDescent="0.25">
      <c r="A31" s="18">
        <v>27</v>
      </c>
      <c r="B31" s="19" t="s">
        <v>30</v>
      </c>
      <c r="C31" s="19" t="s">
        <v>14</v>
      </c>
      <c r="D31" s="21">
        <v>8500</v>
      </c>
      <c r="E31" s="21">
        <v>12000</v>
      </c>
      <c r="F31" s="12">
        <f>Table242325[STOK]-Table242325[TERJUAL]</f>
        <v>260</v>
      </c>
      <c r="G31" s="8">
        <v>18</v>
      </c>
      <c r="H31" s="12">
        <f>Table2423256[STOK]-Table2423256[TERJUAL]</f>
        <v>242</v>
      </c>
      <c r="I31" s="5">
        <f>(Table2423256[HARGA JUAL]*Table2423256[TERJUAL])-(Table2423256[HARGA POKOK]*Table2423256[TERJUAL])</f>
        <v>63000</v>
      </c>
      <c r="J31" s="5">
        <f>(Table2423256[HARGA JUAL]*Table2423256[TERJUAL])</f>
        <v>216000</v>
      </c>
      <c r="K31" s="5">
        <f>Table2423256[HARGA JUAL]*Table2423256[SISA]</f>
        <v>2904000</v>
      </c>
      <c r="L31" s="25">
        <f>Table2423256[HARGA POKOK]*Table2423256[STOK]</f>
        <v>2210000</v>
      </c>
      <c r="M31" s="25">
        <f>Table2423256[HARGA JUAL]*Table2423256[STOK]</f>
        <v>3120000</v>
      </c>
    </row>
    <row r="32" spans="1:13" x14ac:dyDescent="0.25">
      <c r="A32" s="22">
        <v>28</v>
      </c>
      <c r="B32" s="19" t="s">
        <v>30</v>
      </c>
      <c r="C32" s="19" t="s">
        <v>15</v>
      </c>
      <c r="D32" s="21">
        <v>30500</v>
      </c>
      <c r="E32" s="21">
        <v>45000</v>
      </c>
      <c r="F32" s="12">
        <f>Table242325[STOK]-Table242325[TERJUAL]</f>
        <v>41</v>
      </c>
      <c r="G32" s="8">
        <v>2</v>
      </c>
      <c r="H32" s="12">
        <f>Table2423256[STOK]-Table2423256[TERJUAL]</f>
        <v>39</v>
      </c>
      <c r="I32" s="5">
        <f>(Table2423256[HARGA JUAL]*Table2423256[TERJUAL])-(Table2423256[HARGA POKOK]*Table2423256[TERJUAL])</f>
        <v>29000</v>
      </c>
      <c r="J32" s="5">
        <f>(Table2423256[HARGA JUAL]*Table2423256[TERJUAL])</f>
        <v>90000</v>
      </c>
      <c r="K32" s="5">
        <f>Table2423256[HARGA JUAL]*Table2423256[SISA]</f>
        <v>1755000</v>
      </c>
      <c r="L32" s="25">
        <f>Table2423256[HARGA POKOK]*Table2423256[STOK]</f>
        <v>1250500</v>
      </c>
      <c r="M32" s="25">
        <f>Table2423256[HARGA JUAL]*Table2423256[STOK]</f>
        <v>1845000</v>
      </c>
    </row>
    <row r="33" spans="1:13" x14ac:dyDescent="0.25">
      <c r="A33" s="18">
        <v>29</v>
      </c>
      <c r="B33" s="19" t="s">
        <v>30</v>
      </c>
      <c r="C33" s="19" t="s">
        <v>16</v>
      </c>
      <c r="D33" s="21">
        <v>7500</v>
      </c>
      <c r="E33" s="21">
        <v>10000</v>
      </c>
      <c r="F33" s="12">
        <f>Table242325[STOK]-Table242325[TERJUAL]</f>
        <v>250</v>
      </c>
      <c r="G33" s="8">
        <v>2</v>
      </c>
      <c r="H33" s="12">
        <f>Table2423256[STOK]-Table2423256[TERJUAL]</f>
        <v>248</v>
      </c>
      <c r="I33" s="5">
        <f>(Table2423256[HARGA JUAL]*Table2423256[TERJUAL])-(Table2423256[HARGA POKOK]*Table2423256[TERJUAL])</f>
        <v>5000</v>
      </c>
      <c r="J33" s="5">
        <f>(Table2423256[HARGA JUAL]*Table2423256[TERJUAL])</f>
        <v>20000</v>
      </c>
      <c r="K33" s="5">
        <f>Table2423256[HARGA JUAL]*Table2423256[SISA]</f>
        <v>2480000</v>
      </c>
      <c r="L33" s="25">
        <f>Table2423256[HARGA POKOK]*Table2423256[STOK]</f>
        <v>1875000</v>
      </c>
      <c r="M33" s="25">
        <f>Table2423256[HARGA JUAL]*Table2423256[STOK]</f>
        <v>2500000</v>
      </c>
    </row>
    <row r="34" spans="1:13" x14ac:dyDescent="0.25">
      <c r="A34" s="22">
        <v>30</v>
      </c>
      <c r="B34" s="19" t="s">
        <v>35</v>
      </c>
      <c r="C34" s="19" t="s">
        <v>36</v>
      </c>
      <c r="D34" s="21">
        <v>51500</v>
      </c>
      <c r="E34" s="21">
        <v>65000</v>
      </c>
      <c r="F34" s="12">
        <f>Table242325[STOK]-Table242325[TERJUAL]</f>
        <v>1</v>
      </c>
      <c r="G34" s="8">
        <v>1</v>
      </c>
      <c r="H34" s="12">
        <f>Table2423256[STOK]-Table2423256[TERJUAL]</f>
        <v>0</v>
      </c>
      <c r="I34" s="5">
        <f>(Table2423256[HARGA JUAL]*Table2423256[TERJUAL])-(Table2423256[HARGA POKOK]*Table2423256[TERJUAL])</f>
        <v>13500</v>
      </c>
      <c r="J34" s="5">
        <f>(Table2423256[HARGA JUAL]*Table2423256[TERJUAL])</f>
        <v>65000</v>
      </c>
      <c r="K34" s="5">
        <f>Table2423256[HARGA JUAL]*Table2423256[SISA]</f>
        <v>0</v>
      </c>
      <c r="L34" s="25">
        <f>Table2423256[HARGA POKOK]*Table2423256[STOK]</f>
        <v>51500</v>
      </c>
      <c r="M34" s="25">
        <f>Table2423256[HARGA JUAL]*Table2423256[STOK]</f>
        <v>65000</v>
      </c>
    </row>
    <row r="35" spans="1:13" x14ac:dyDescent="0.25">
      <c r="A35" s="18">
        <v>31</v>
      </c>
      <c r="B35" s="19" t="s">
        <v>31</v>
      </c>
      <c r="C35" s="19" t="s">
        <v>154</v>
      </c>
      <c r="D35" s="21">
        <v>50000</v>
      </c>
      <c r="E35" s="21">
        <v>70000</v>
      </c>
      <c r="F35" s="12">
        <v>1</v>
      </c>
      <c r="G35" s="8"/>
      <c r="H35" s="12">
        <v>1</v>
      </c>
      <c r="I35" s="5">
        <f>(Table2423256[HARGA JUAL]*Table2423256[TERJUAL])-(Table2423256[HARGA POKOK]*Table2423256[TERJUAL])</f>
        <v>0</v>
      </c>
      <c r="J35" s="5">
        <f>(Table2423256[HARGA JUAL]*Table2423256[TERJUAL])</f>
        <v>0</v>
      </c>
      <c r="K35" s="5">
        <f>Table2423256[HARGA JUAL]*Table2423256[SISA]</f>
        <v>70000</v>
      </c>
      <c r="L35" s="25">
        <f>Table2423256[HARGA POKOK]*Table2423256[STOK]</f>
        <v>50000</v>
      </c>
      <c r="M35" s="25">
        <f>Table2423256[HARGA JUAL]*Table2423256[STOK]</f>
        <v>70000</v>
      </c>
    </row>
    <row r="36" spans="1:13" x14ac:dyDescent="0.25">
      <c r="A36" s="22">
        <v>32</v>
      </c>
      <c r="B36" s="19" t="s">
        <v>31</v>
      </c>
      <c r="C36" s="19" t="s">
        <v>137</v>
      </c>
      <c r="D36" s="21">
        <v>190000</v>
      </c>
      <c r="E36" s="21">
        <v>200000</v>
      </c>
      <c r="F36" s="12">
        <v>20</v>
      </c>
      <c r="G36" s="8">
        <v>4</v>
      </c>
      <c r="H36" s="12">
        <f>Table2423256[STOK]-Table2423256[TERJUAL]</f>
        <v>16</v>
      </c>
      <c r="I36" s="5">
        <f>(Table2423256[HARGA JUAL]*Table2423256[TERJUAL])-(Table2423256[HARGA POKOK]*Table2423256[TERJUAL])</f>
        <v>40000</v>
      </c>
      <c r="J36" s="5">
        <f>(Table2423256[HARGA JUAL]*Table2423256[TERJUAL])</f>
        <v>800000</v>
      </c>
      <c r="K36" s="5">
        <f>Table2423256[HARGA JUAL]*Table2423256[SISA]</f>
        <v>3200000</v>
      </c>
      <c r="L36" s="25">
        <f>Table2423256[HARGA POKOK]*Table2423256[STOK]</f>
        <v>3800000</v>
      </c>
      <c r="M36" s="25">
        <f>Table2423256[HARGA JUAL]*Table2423256[STOK]</f>
        <v>4000000</v>
      </c>
    </row>
    <row r="37" spans="1:13" x14ac:dyDescent="0.25">
      <c r="A37" s="18">
        <v>33</v>
      </c>
      <c r="B37" s="19" t="s">
        <v>31</v>
      </c>
      <c r="C37" s="19" t="s">
        <v>149</v>
      </c>
      <c r="D37" s="21">
        <v>20000</v>
      </c>
      <c r="E37" s="21">
        <v>30000</v>
      </c>
      <c r="F37" s="12">
        <v>7</v>
      </c>
      <c r="G37" s="8">
        <v>7</v>
      </c>
      <c r="H37" s="12">
        <f>Table2423256[STOK]-Table2423256[TERJUAL]</f>
        <v>0</v>
      </c>
      <c r="I37" s="5">
        <f>(Table2423256[HARGA JUAL]*Table2423256[TERJUAL])-(Table2423256[HARGA POKOK]*Table2423256[TERJUAL])</f>
        <v>70000</v>
      </c>
      <c r="J37" s="5">
        <f>(Table2423256[HARGA JUAL]*Table2423256[TERJUAL])</f>
        <v>210000</v>
      </c>
      <c r="K37" s="5">
        <f>Table2423256[HARGA JUAL]*Table2423256[SISA]</f>
        <v>0</v>
      </c>
      <c r="L37" s="25">
        <f>Table2423256[HARGA POKOK]*Table2423256[STOK]</f>
        <v>140000</v>
      </c>
      <c r="M37" s="25">
        <f>Table2423256[HARGA JUAL]*Table2423256[STOK]</f>
        <v>210000</v>
      </c>
    </row>
    <row r="38" spans="1:13" x14ac:dyDescent="0.25">
      <c r="A38" s="22">
        <v>34</v>
      </c>
      <c r="B38" s="19" t="s">
        <v>31</v>
      </c>
      <c r="C38" s="19" t="s">
        <v>141</v>
      </c>
      <c r="D38" s="21">
        <v>18000</v>
      </c>
      <c r="E38" s="21">
        <v>30000</v>
      </c>
      <c r="F38" s="12">
        <v>10</v>
      </c>
      <c r="G38" s="8">
        <v>1</v>
      </c>
      <c r="H38" s="12">
        <f>Table2423256[STOK]-Table2423256[TERJUAL]</f>
        <v>9</v>
      </c>
      <c r="I38" s="5">
        <f>(Table2423256[HARGA JUAL]*Table2423256[TERJUAL])-(Table2423256[HARGA POKOK]*Table2423256[TERJUAL])</f>
        <v>12000</v>
      </c>
      <c r="J38" s="5">
        <f>(Table2423256[HARGA JUAL]*Table2423256[TERJUAL])</f>
        <v>30000</v>
      </c>
      <c r="K38" s="5">
        <f>Table2423256[HARGA JUAL]*Table2423256[SISA]</f>
        <v>270000</v>
      </c>
      <c r="L38" s="25">
        <f>Table2423256[HARGA POKOK]*Table2423256[STOK]</f>
        <v>180000</v>
      </c>
      <c r="M38" s="25">
        <f>Table2423256[HARGA JUAL]*Table2423256[STOK]</f>
        <v>300000</v>
      </c>
    </row>
    <row r="39" spans="1:13" x14ac:dyDescent="0.25">
      <c r="A39" s="18">
        <v>35</v>
      </c>
      <c r="B39" s="19" t="s">
        <v>31</v>
      </c>
      <c r="C39" s="19" t="s">
        <v>17</v>
      </c>
      <c r="D39" s="21">
        <v>30000</v>
      </c>
      <c r="E39" s="21">
        <v>40000</v>
      </c>
      <c r="F39" s="12">
        <f>Table242325[STOK]-Table242325[TERJUAL]</f>
        <v>0</v>
      </c>
      <c r="G39" s="8"/>
      <c r="H39" s="12">
        <f>Table2423256[STOK]-Table2423256[TERJUAL]</f>
        <v>0</v>
      </c>
      <c r="I39" s="5">
        <f>(Table2423256[HARGA JUAL]*Table2423256[TERJUAL])-(Table2423256[HARGA POKOK]*Table2423256[TERJUAL])</f>
        <v>0</v>
      </c>
      <c r="J39" s="5">
        <f>(Table2423256[HARGA JUAL]*Table2423256[TERJUAL])</f>
        <v>0</v>
      </c>
      <c r="K39" s="5">
        <f>Table2423256[HARGA JUAL]*Table2423256[SISA]</f>
        <v>0</v>
      </c>
      <c r="L39" s="25">
        <f>Table2423256[HARGA POKOK]*Table2423256[STOK]</f>
        <v>0</v>
      </c>
      <c r="M39" s="25">
        <f>Table2423256[HARGA JUAL]*Table2423256[STOK]</f>
        <v>0</v>
      </c>
    </row>
    <row r="40" spans="1:13" x14ac:dyDescent="0.25">
      <c r="A40" s="22">
        <v>36</v>
      </c>
      <c r="B40" s="19" t="s">
        <v>31</v>
      </c>
      <c r="C40" s="19" t="s">
        <v>64</v>
      </c>
      <c r="D40" s="21">
        <v>24000</v>
      </c>
      <c r="E40" s="21">
        <v>40000</v>
      </c>
      <c r="F40" s="12">
        <v>10</v>
      </c>
      <c r="G40" s="8">
        <v>2</v>
      </c>
      <c r="H40" s="12">
        <f>Table2423256[STOK]-Table2423256[TERJUAL]</f>
        <v>8</v>
      </c>
      <c r="I40" s="5">
        <f>(Table2423256[HARGA JUAL]*Table2423256[TERJUAL])-(Table2423256[HARGA POKOK]*Table2423256[TERJUAL])</f>
        <v>32000</v>
      </c>
      <c r="J40" s="5">
        <f>(Table2423256[HARGA JUAL]*Table2423256[TERJUAL])</f>
        <v>80000</v>
      </c>
      <c r="K40" s="5">
        <f>Table2423256[HARGA JUAL]*Table2423256[SISA]</f>
        <v>320000</v>
      </c>
      <c r="L40" s="25">
        <f>Table2423256[HARGA POKOK]*Table2423256[STOK]</f>
        <v>240000</v>
      </c>
      <c r="M40" s="25">
        <f>Table2423256[HARGA JUAL]*Table2423256[STOK]</f>
        <v>400000</v>
      </c>
    </row>
    <row r="41" spans="1:13" x14ac:dyDescent="0.25">
      <c r="A41" s="18">
        <v>37</v>
      </c>
      <c r="B41" s="19" t="s">
        <v>31</v>
      </c>
      <c r="C41" s="19" t="s">
        <v>138</v>
      </c>
      <c r="D41" s="21">
        <v>34000</v>
      </c>
      <c r="E41" s="21">
        <v>40000</v>
      </c>
      <c r="F41" s="12">
        <v>5</v>
      </c>
      <c r="G41" s="8">
        <v>5</v>
      </c>
      <c r="H41" s="12">
        <f>Table2423256[STOK]-Table2423256[TERJUAL]</f>
        <v>0</v>
      </c>
      <c r="I41" s="5">
        <f>(Table2423256[HARGA JUAL]*Table2423256[TERJUAL])-(Table2423256[HARGA POKOK]*Table2423256[TERJUAL])</f>
        <v>30000</v>
      </c>
      <c r="J41" s="5">
        <f>(Table2423256[HARGA JUAL]*Table2423256[TERJUAL])</f>
        <v>200000</v>
      </c>
      <c r="K41" s="5">
        <f>Table2423256[HARGA JUAL]*Table2423256[SISA]</f>
        <v>0</v>
      </c>
      <c r="L41" s="25">
        <f>Table2423256[HARGA POKOK]*Table2423256[STOK]</f>
        <v>170000</v>
      </c>
      <c r="M41" s="25">
        <f>Table2423256[HARGA JUAL]*Table2423256[STOK]</f>
        <v>200000</v>
      </c>
    </row>
    <row r="42" spans="1:13" x14ac:dyDescent="0.25">
      <c r="A42" s="22">
        <v>38</v>
      </c>
      <c r="B42" s="19" t="s">
        <v>31</v>
      </c>
      <c r="C42" s="88" t="s">
        <v>66</v>
      </c>
      <c r="D42" s="24">
        <v>30000</v>
      </c>
      <c r="E42" s="24">
        <v>40000</v>
      </c>
      <c r="F42" s="13">
        <f>Table242325[STOK]-Table242325[TERJUAL]</f>
        <v>16</v>
      </c>
      <c r="G42" s="9"/>
      <c r="H42" s="13">
        <f>Table2423256[STOK]-Table2423256[TERJUAL]</f>
        <v>16</v>
      </c>
      <c r="I42" s="5">
        <f>(Table2423256[HARGA JUAL]*Table2423256[TERJUAL])-(Table2423256[HARGA POKOK]*Table2423256[TERJUAL])</f>
        <v>0</v>
      </c>
      <c r="J42" s="4">
        <f>(Table2423256[HARGA JUAL]*Table2423256[TERJUAL])</f>
        <v>0</v>
      </c>
      <c r="K42" s="4">
        <f>Table2423256[HARGA JUAL]*Table2423256[SISA]</f>
        <v>640000</v>
      </c>
      <c r="L42" s="25">
        <f>Table2423256[HARGA POKOK]*Table2423256[STOK]</f>
        <v>480000</v>
      </c>
      <c r="M42" s="25">
        <f>Table2423256[HARGA JUAL]*Table2423256[STOK]</f>
        <v>640000</v>
      </c>
    </row>
    <row r="43" spans="1:13" x14ac:dyDescent="0.25">
      <c r="A43" s="18">
        <v>39</v>
      </c>
      <c r="B43" s="19" t="s">
        <v>31</v>
      </c>
      <c r="C43" s="88" t="s">
        <v>134</v>
      </c>
      <c r="D43" s="24">
        <v>18000</v>
      </c>
      <c r="E43" s="24">
        <v>30000</v>
      </c>
      <c r="F43" s="13">
        <v>16</v>
      </c>
      <c r="G43" s="9">
        <v>3</v>
      </c>
      <c r="H43" s="13">
        <f>Table2423256[STOK]-Table2423256[TERJUAL]</f>
        <v>13</v>
      </c>
      <c r="I43" s="5">
        <f>(Table2423256[HARGA JUAL]*Table2423256[TERJUAL])-(Table2423256[HARGA POKOK]*Table2423256[TERJUAL])</f>
        <v>36000</v>
      </c>
      <c r="J43" s="4">
        <f>(Table2423256[HARGA JUAL]*Table2423256[TERJUAL])</f>
        <v>90000</v>
      </c>
      <c r="K43" s="4">
        <f>Table2423256[HARGA JUAL]*Table2423256[SISA]</f>
        <v>390000</v>
      </c>
      <c r="L43" s="25">
        <f>Table2423256[HARGA POKOK]*Table2423256[STOK]</f>
        <v>288000</v>
      </c>
      <c r="M43" s="25">
        <f>Table2423256[HARGA JUAL]*Table2423256[STOK]</f>
        <v>480000</v>
      </c>
    </row>
    <row r="44" spans="1:13" x14ac:dyDescent="0.25">
      <c r="A44" s="22">
        <v>40</v>
      </c>
      <c r="B44" s="19" t="s">
        <v>31</v>
      </c>
      <c r="C44" s="19" t="s">
        <v>67</v>
      </c>
      <c r="D44" s="21">
        <v>27500</v>
      </c>
      <c r="E44" s="21">
        <v>40000</v>
      </c>
      <c r="F44" s="12">
        <v>60</v>
      </c>
      <c r="G44" s="8">
        <v>1</v>
      </c>
      <c r="H44" s="12">
        <f>Table2423256[STOK]-Table2423256[TERJUAL]</f>
        <v>59</v>
      </c>
      <c r="I44" s="5">
        <f>(Table2423256[HARGA JUAL]*Table2423256[TERJUAL])-(Table2423256[HARGA POKOK]*Table2423256[TERJUAL])</f>
        <v>12500</v>
      </c>
      <c r="J44" s="5">
        <f>(Table2423256[HARGA JUAL]*Table2423256[TERJUAL])</f>
        <v>40000</v>
      </c>
      <c r="K44" s="5">
        <f>Table2423256[HARGA JUAL]*Table2423256[SISA]</f>
        <v>2360000</v>
      </c>
      <c r="L44" s="25">
        <f>Table2423256[HARGA POKOK]*Table2423256[STOK]</f>
        <v>1650000</v>
      </c>
      <c r="M44" s="25">
        <f>Table2423256[HARGA JUAL]*Table2423256[STOK]</f>
        <v>2400000</v>
      </c>
    </row>
    <row r="45" spans="1:13" x14ac:dyDescent="0.25">
      <c r="A45" s="18">
        <v>41</v>
      </c>
      <c r="B45" s="19" t="s">
        <v>31</v>
      </c>
      <c r="C45" s="19" t="s">
        <v>139</v>
      </c>
      <c r="D45" s="21">
        <v>16000</v>
      </c>
      <c r="E45" s="21">
        <v>25000</v>
      </c>
      <c r="F45" s="12">
        <v>10</v>
      </c>
      <c r="G45" s="8">
        <v>1</v>
      </c>
      <c r="H45" s="12">
        <f>Table2423256[STOK]-Table2423256[TERJUAL]</f>
        <v>9</v>
      </c>
      <c r="I45" s="5">
        <f>(Table2423256[HARGA JUAL]*Table2423256[TERJUAL])-(Table2423256[HARGA POKOK]*Table2423256[TERJUAL])</f>
        <v>9000</v>
      </c>
      <c r="J45" s="5">
        <f>(Table2423256[HARGA JUAL]*Table2423256[TERJUAL])</f>
        <v>25000</v>
      </c>
      <c r="K45" s="5">
        <f>Table2423256[HARGA JUAL]*Table2423256[SISA]</f>
        <v>225000</v>
      </c>
      <c r="L45" s="25">
        <f>Table2423256[HARGA POKOK]*Table2423256[STOK]</f>
        <v>160000</v>
      </c>
      <c r="M45" s="25">
        <f>Table2423256[HARGA JUAL]*Table2423256[STOK]</f>
        <v>250000</v>
      </c>
    </row>
    <row r="46" spans="1:13" x14ac:dyDescent="0.25">
      <c r="A46" s="22">
        <v>42</v>
      </c>
      <c r="B46" s="19" t="s">
        <v>31</v>
      </c>
      <c r="C46" s="19" t="s">
        <v>140</v>
      </c>
      <c r="D46" s="21">
        <v>15000</v>
      </c>
      <c r="E46" s="21">
        <v>30000</v>
      </c>
      <c r="F46" s="12">
        <v>10</v>
      </c>
      <c r="G46" s="8">
        <v>3</v>
      </c>
      <c r="H46" s="12">
        <f>Table2423256[STOK]-Table2423256[TERJUAL]</f>
        <v>7</v>
      </c>
      <c r="I46" s="5">
        <f>(Table2423256[HARGA JUAL]*Table2423256[TERJUAL])-(Table2423256[HARGA POKOK]*Table2423256[TERJUAL])</f>
        <v>45000</v>
      </c>
      <c r="J46" s="5">
        <f>(Table2423256[HARGA JUAL]*Table2423256[TERJUAL])</f>
        <v>90000</v>
      </c>
      <c r="K46" s="5">
        <f>Table2423256[HARGA JUAL]*Table2423256[SISA]</f>
        <v>210000</v>
      </c>
      <c r="L46" s="25">
        <f>Table2423256[HARGA POKOK]*Table2423256[STOK]</f>
        <v>150000</v>
      </c>
      <c r="M46" s="25">
        <f>Table2423256[HARGA JUAL]*Table2423256[STOK]</f>
        <v>300000</v>
      </c>
    </row>
    <row r="47" spans="1:13" x14ac:dyDescent="0.25">
      <c r="A47" s="18">
        <v>43</v>
      </c>
      <c r="B47" s="19" t="s">
        <v>32</v>
      </c>
      <c r="C47" s="19" t="s">
        <v>18</v>
      </c>
      <c r="D47" s="21">
        <v>1700</v>
      </c>
      <c r="E47" s="21">
        <v>5000</v>
      </c>
      <c r="F47" s="12">
        <v>150</v>
      </c>
      <c r="G47" s="8">
        <v>8</v>
      </c>
      <c r="H47" s="12">
        <f>Table2423256[STOK]-Table2423256[TERJUAL]</f>
        <v>142</v>
      </c>
      <c r="I47" s="5">
        <f>(Table2423256[HARGA JUAL]*Table2423256[TERJUAL])-(Table2423256[HARGA POKOK]*Table2423256[TERJUAL])</f>
        <v>26400</v>
      </c>
      <c r="J47" s="5">
        <f>(Table2423256[HARGA JUAL]*Table2423256[TERJUAL])</f>
        <v>40000</v>
      </c>
      <c r="K47" s="5">
        <f>Table2423256[HARGA JUAL]*Table2423256[SISA]</f>
        <v>710000</v>
      </c>
      <c r="L47" s="25">
        <f>Table2423256[HARGA POKOK]*Table2423256[STOK]</f>
        <v>255000</v>
      </c>
      <c r="M47" s="25">
        <f>Table2423256[HARGA JUAL]*Table2423256[STOK]</f>
        <v>750000</v>
      </c>
    </row>
    <row r="48" spans="1:13" x14ac:dyDescent="0.25">
      <c r="A48" s="22">
        <v>44</v>
      </c>
      <c r="B48" s="19" t="s">
        <v>32</v>
      </c>
      <c r="C48" s="19" t="s">
        <v>21</v>
      </c>
      <c r="D48" s="21">
        <v>30500</v>
      </c>
      <c r="E48" s="21">
        <v>45000</v>
      </c>
      <c r="F48" s="12"/>
      <c r="G48" s="8"/>
      <c r="H48" s="12">
        <f>Table2423256[STOK]-Table2423256[TERJUAL]</f>
        <v>0</v>
      </c>
      <c r="I48" s="5">
        <f>(Table2423256[HARGA JUAL]*Table2423256[TERJUAL])-(Table2423256[HARGA POKOK]*Table2423256[TERJUAL])</f>
        <v>0</v>
      </c>
      <c r="J48" s="5">
        <f>(Table2423256[HARGA JUAL]*Table2423256[TERJUAL])</f>
        <v>0</v>
      </c>
      <c r="K48" s="5">
        <f>Table2423256[HARGA JUAL]*Table2423256[SISA]</f>
        <v>0</v>
      </c>
      <c r="L48" s="25">
        <f>Table2423256[HARGA POKOK]*Table2423256[STOK]</f>
        <v>0</v>
      </c>
      <c r="M48" s="25">
        <f>Table2423256[HARGA JUAL]*Table2423256[STOK]</f>
        <v>0</v>
      </c>
    </row>
    <row r="49" spans="1:13" x14ac:dyDescent="0.25">
      <c r="A49" s="18">
        <v>45</v>
      </c>
      <c r="B49" s="19" t="s">
        <v>32</v>
      </c>
      <c r="C49" s="19" t="s">
        <v>20</v>
      </c>
      <c r="D49" s="21">
        <v>1500</v>
      </c>
      <c r="E49" s="21">
        <v>5000</v>
      </c>
      <c r="F49" s="12">
        <f>Table242325[STOK]-Table242325[TERJUAL]</f>
        <v>2</v>
      </c>
      <c r="G49" s="8"/>
      <c r="H49" s="12">
        <f>Table2423256[STOK]-Table2423256[TERJUAL]</f>
        <v>2</v>
      </c>
      <c r="I49" s="5">
        <f>(Table2423256[HARGA JUAL]*Table2423256[TERJUAL])-(Table2423256[HARGA POKOK]*Table2423256[TERJUAL])</f>
        <v>0</v>
      </c>
      <c r="J49" s="5">
        <f>(Table2423256[HARGA JUAL]*Table2423256[TERJUAL])</f>
        <v>0</v>
      </c>
      <c r="K49" s="5">
        <f>Table2423256[HARGA JUAL]*Table2423256[SISA]</f>
        <v>10000</v>
      </c>
      <c r="L49" s="25">
        <f>Table2423256[HARGA POKOK]*Table2423256[STOK]</f>
        <v>3000</v>
      </c>
      <c r="M49" s="25">
        <f>Table2423256[HARGA JUAL]*Table2423256[STOK]</f>
        <v>10000</v>
      </c>
    </row>
    <row r="50" spans="1:13" x14ac:dyDescent="0.25">
      <c r="A50" s="22">
        <v>46</v>
      </c>
      <c r="B50" s="19" t="s">
        <v>32</v>
      </c>
      <c r="C50" s="19" t="s">
        <v>23</v>
      </c>
      <c r="D50" s="21">
        <v>30000</v>
      </c>
      <c r="E50" s="21">
        <v>40000</v>
      </c>
      <c r="F50" s="12">
        <f>Table242325[STOK]-Table242325[TERJUAL]</f>
        <v>17</v>
      </c>
      <c r="G50" s="8">
        <v>1</v>
      </c>
      <c r="H50" s="12">
        <f>Table2423256[STOK]-Table2423256[TERJUAL]</f>
        <v>16</v>
      </c>
      <c r="I50" s="5">
        <f>(Table2423256[HARGA JUAL]*Table2423256[TERJUAL])-(Table2423256[HARGA POKOK]*Table2423256[TERJUAL])</f>
        <v>10000</v>
      </c>
      <c r="J50" s="5">
        <f>(Table2423256[HARGA JUAL]*Table2423256[TERJUAL])</f>
        <v>40000</v>
      </c>
      <c r="K50" s="5">
        <f>Table2423256[HARGA JUAL]*Table2423256[SISA]</f>
        <v>640000</v>
      </c>
      <c r="L50" s="25">
        <f>Table2423256[HARGA POKOK]*Table2423256[STOK]</f>
        <v>510000</v>
      </c>
      <c r="M50" s="25">
        <f>Table2423256[HARGA JUAL]*Table2423256[STOK]</f>
        <v>680000</v>
      </c>
    </row>
    <row r="51" spans="1:13" x14ac:dyDescent="0.25">
      <c r="A51" s="18">
        <v>47</v>
      </c>
      <c r="B51" s="19" t="s">
        <v>32</v>
      </c>
      <c r="C51" s="19" t="s">
        <v>19</v>
      </c>
      <c r="D51" s="21">
        <v>1600</v>
      </c>
      <c r="E51" s="21">
        <v>5000</v>
      </c>
      <c r="F51" s="12">
        <v>90</v>
      </c>
      <c r="G51" s="8">
        <v>7</v>
      </c>
      <c r="H51" s="12">
        <f>Table2423256[STOK]-Table2423256[TERJUAL]</f>
        <v>83</v>
      </c>
      <c r="I51" s="5">
        <f>(Table2423256[HARGA JUAL]*Table2423256[TERJUAL])-(Table2423256[HARGA POKOK]*Table2423256[TERJUAL])</f>
        <v>23800</v>
      </c>
      <c r="J51" s="5">
        <f>(Table2423256[HARGA JUAL]*Table2423256[TERJUAL])</f>
        <v>35000</v>
      </c>
      <c r="K51" s="5">
        <f>Table2423256[HARGA JUAL]*Table2423256[SISA]</f>
        <v>415000</v>
      </c>
      <c r="L51" s="25">
        <f>Table2423256[HARGA POKOK]*Table2423256[STOK]</f>
        <v>144000</v>
      </c>
      <c r="M51" s="25">
        <f>Table2423256[HARGA JUAL]*Table2423256[STOK]</f>
        <v>450000</v>
      </c>
    </row>
    <row r="52" spans="1:13" x14ac:dyDescent="0.25">
      <c r="A52" s="22">
        <v>48</v>
      </c>
      <c r="B52" s="19" t="s">
        <v>32</v>
      </c>
      <c r="C52" s="19" t="s">
        <v>22</v>
      </c>
      <c r="D52" s="21">
        <v>27500</v>
      </c>
      <c r="E52" s="21">
        <v>40000</v>
      </c>
      <c r="F52" s="12">
        <v>2</v>
      </c>
      <c r="G52" s="8">
        <v>2</v>
      </c>
      <c r="H52" s="12">
        <f>Table2423256[STOK]-Table2423256[TERJUAL]</f>
        <v>0</v>
      </c>
      <c r="I52" s="5">
        <f>(Table2423256[HARGA JUAL]*Table2423256[TERJUAL])-(Table2423256[HARGA POKOK]*Table2423256[TERJUAL])</f>
        <v>25000</v>
      </c>
      <c r="J52" s="5">
        <f>(Table2423256[HARGA JUAL]*Table2423256[TERJUAL])</f>
        <v>80000</v>
      </c>
      <c r="K52" s="5">
        <f>Table2423256[HARGA JUAL]*Table2423256[SISA]</f>
        <v>0</v>
      </c>
      <c r="L52" s="25">
        <f>Table2423256[HARGA POKOK]*Table2423256[STOK]</f>
        <v>55000</v>
      </c>
      <c r="M52" s="25">
        <f>Table2423256[HARGA JUAL]*Table2423256[STOK]</f>
        <v>80000</v>
      </c>
    </row>
    <row r="53" spans="1:13" x14ac:dyDescent="0.25">
      <c r="A53" s="18">
        <v>49</v>
      </c>
      <c r="B53" s="19" t="s">
        <v>32</v>
      </c>
      <c r="C53" s="19" t="s">
        <v>24</v>
      </c>
      <c r="D53" s="21">
        <v>17500</v>
      </c>
      <c r="E53" s="21">
        <v>40000</v>
      </c>
      <c r="F53" s="12">
        <v>17</v>
      </c>
      <c r="G53" s="8">
        <v>2</v>
      </c>
      <c r="H53" s="12">
        <f>Table2423256[STOK]-Table2423256[TERJUAL]</f>
        <v>15</v>
      </c>
      <c r="I53" s="5">
        <f>(Table2423256[HARGA JUAL]*Table2423256[TERJUAL])-(Table2423256[HARGA POKOK]*Table2423256[TERJUAL])</f>
        <v>45000</v>
      </c>
      <c r="J53" s="5">
        <f>(Table2423256[HARGA JUAL]*Table2423256[TERJUAL])</f>
        <v>80000</v>
      </c>
      <c r="K53" s="5">
        <f>Table2423256[HARGA JUAL]*Table2423256[SISA]</f>
        <v>600000</v>
      </c>
      <c r="L53" s="25">
        <f>Table2423256[HARGA POKOK]*Table2423256[STOK]</f>
        <v>297500</v>
      </c>
      <c r="M53" s="25">
        <f>Table2423256[HARGA JUAL]*Table2423256[STOK]</f>
        <v>680000</v>
      </c>
    </row>
    <row r="54" spans="1:13" x14ac:dyDescent="0.25">
      <c r="A54" s="22">
        <v>50</v>
      </c>
      <c r="B54" s="19" t="s">
        <v>144</v>
      </c>
      <c r="C54" s="19" t="s">
        <v>145</v>
      </c>
      <c r="D54" s="21">
        <v>3000</v>
      </c>
      <c r="E54" s="21">
        <v>6000</v>
      </c>
      <c r="F54" s="12">
        <v>90</v>
      </c>
      <c r="G54" s="8">
        <v>1</v>
      </c>
      <c r="H54" s="12">
        <f>Table2423256[STOK]-Table2423256[TERJUAL]</f>
        <v>89</v>
      </c>
      <c r="I54" s="5">
        <f>(Table2423256[HARGA JUAL]*Table2423256[TERJUAL])-(Table2423256[HARGA POKOK]*Table2423256[TERJUAL])</f>
        <v>3000</v>
      </c>
      <c r="J54" s="5">
        <f>(Table2423256[HARGA JUAL]*Table2423256[TERJUAL])</f>
        <v>6000</v>
      </c>
      <c r="K54" s="5">
        <f>Table2423256[HARGA JUAL]*Table2423256[SISA]</f>
        <v>534000</v>
      </c>
      <c r="L54" s="25">
        <f>Table2423256[HARGA POKOK]*Table2423256[STOK]</f>
        <v>270000</v>
      </c>
      <c r="M54" s="25">
        <f>Table2423256[HARGA JUAL]*Table2423256[STOK]</f>
        <v>540000</v>
      </c>
    </row>
    <row r="55" spans="1:13" x14ac:dyDescent="0.25">
      <c r="A55" s="18">
        <v>51</v>
      </c>
      <c r="B55" s="88" t="s">
        <v>33</v>
      </c>
      <c r="C55" s="88" t="s">
        <v>37</v>
      </c>
      <c r="D55" s="24">
        <v>8700</v>
      </c>
      <c r="E55" s="24">
        <v>15000</v>
      </c>
      <c r="F55" s="13">
        <v>60</v>
      </c>
      <c r="G55" s="9">
        <v>8</v>
      </c>
      <c r="H55" s="13">
        <f>Table2423256[STOK]-Table2423256[TERJUAL]</f>
        <v>52</v>
      </c>
      <c r="I55" s="5">
        <f>(Table2423256[HARGA JUAL]*Table2423256[TERJUAL])-(Table2423256[HARGA POKOK]*Table2423256[TERJUAL])</f>
        <v>50400</v>
      </c>
      <c r="J55" s="4">
        <f>(Table2423256[HARGA JUAL]*Table2423256[TERJUAL])</f>
        <v>120000</v>
      </c>
      <c r="K55" s="4">
        <f>Table2423256[HARGA JUAL]*Table2423256[SISA]</f>
        <v>780000</v>
      </c>
      <c r="L55" s="25">
        <f>Table2423256[HARGA POKOK]*Table2423256[STOK]</f>
        <v>522000</v>
      </c>
      <c r="M55" s="25">
        <f>Table2423256[HARGA JUAL]*Table2423256[STOK]</f>
        <v>900000</v>
      </c>
    </row>
    <row r="56" spans="1:13" x14ac:dyDescent="0.25">
      <c r="A56" s="22">
        <v>52</v>
      </c>
      <c r="B56" s="88" t="s">
        <v>33</v>
      </c>
      <c r="C56" s="19" t="s">
        <v>25</v>
      </c>
      <c r="D56" s="21">
        <v>8800</v>
      </c>
      <c r="E56" s="21">
        <v>15000</v>
      </c>
      <c r="F56" s="12">
        <v>63</v>
      </c>
      <c r="G56" s="8">
        <v>4</v>
      </c>
      <c r="H56" s="12">
        <f>Table2423256[STOK]-Table2423256[TERJUAL]</f>
        <v>59</v>
      </c>
      <c r="I56" s="5">
        <f>(Table2423256[HARGA JUAL]*Table2423256[TERJUAL])-(Table2423256[HARGA POKOK]*Table2423256[TERJUAL])</f>
        <v>24800</v>
      </c>
      <c r="J56" s="5">
        <f>(Table2423256[HARGA JUAL]*Table2423256[TERJUAL])</f>
        <v>60000</v>
      </c>
      <c r="K56" s="5">
        <f>Table2423256[HARGA JUAL]*Table2423256[SISA]</f>
        <v>885000</v>
      </c>
      <c r="L56" s="25">
        <f>Table2423256[HARGA POKOK]*Table2423256[STOK]</f>
        <v>554400</v>
      </c>
      <c r="M56" s="25">
        <f>Table2423256[HARGA JUAL]*Table2423256[STOK]</f>
        <v>945000</v>
      </c>
    </row>
    <row r="57" spans="1:13" x14ac:dyDescent="0.25">
      <c r="A57" s="18">
        <v>53</v>
      </c>
      <c r="B57" s="88" t="s">
        <v>33</v>
      </c>
      <c r="C57" s="19" t="s">
        <v>26</v>
      </c>
      <c r="D57" s="21">
        <v>315000</v>
      </c>
      <c r="E57" s="21">
        <v>475000</v>
      </c>
      <c r="F57" s="12">
        <v>155</v>
      </c>
      <c r="G57" s="8">
        <v>12</v>
      </c>
      <c r="H57" s="12">
        <f>Table2423256[STOK]-Table2423256[TERJUAL]</f>
        <v>143</v>
      </c>
      <c r="I57" s="5">
        <f>(Table2423256[HARGA JUAL]*Table2423256[TERJUAL])-(Table2423256[HARGA POKOK]*Table2423256[TERJUAL])</f>
        <v>1920000</v>
      </c>
      <c r="J57" s="5">
        <f>(Table2423256[HARGA JUAL]*Table2423256[TERJUAL])</f>
        <v>5700000</v>
      </c>
      <c r="K57" s="5">
        <f>Table2423256[HARGA JUAL]*Table2423256[SISA]</f>
        <v>67925000</v>
      </c>
      <c r="L57" s="25">
        <f>Table2423256[HARGA POKOK]*Table2423256[STOK]</f>
        <v>48825000</v>
      </c>
      <c r="M57" s="25">
        <f>Table2423256[HARGA JUAL]*Table2423256[STOK]</f>
        <v>73625000</v>
      </c>
    </row>
    <row r="58" spans="1:13" x14ac:dyDescent="0.25">
      <c r="A58" s="22">
        <v>54</v>
      </c>
      <c r="B58" s="88" t="s">
        <v>34</v>
      </c>
      <c r="C58" s="88" t="s">
        <v>142</v>
      </c>
      <c r="D58" s="24">
        <v>310000</v>
      </c>
      <c r="E58" s="24">
        <v>435000</v>
      </c>
      <c r="F58" s="13">
        <v>6</v>
      </c>
      <c r="G58" s="9">
        <v>1</v>
      </c>
      <c r="H58" s="13">
        <f>Table2423256[STOK]-Table2423256[TERJUAL]</f>
        <v>5</v>
      </c>
      <c r="I58" s="5">
        <f>(Table2423256[HARGA JUAL]*Table2423256[TERJUAL])-(Table2423256[HARGA POKOK]*Table2423256[TERJUAL])</f>
        <v>125000</v>
      </c>
      <c r="J58" s="4">
        <f>(Table2423256[HARGA JUAL]*Table2423256[TERJUAL])</f>
        <v>435000</v>
      </c>
      <c r="K58" s="4">
        <f>Table2423256[HARGA JUAL]*Table2423256[SISA]</f>
        <v>2175000</v>
      </c>
      <c r="L58" s="25">
        <f>Table2423256[HARGA POKOK]*Table2423256[STOK]</f>
        <v>1860000</v>
      </c>
      <c r="M58" s="25">
        <f>Table2423256[HARGA JUAL]*Table2423256[STOK]</f>
        <v>2610000</v>
      </c>
    </row>
    <row r="59" spans="1:13" x14ac:dyDescent="0.25">
      <c r="A59" s="18">
        <v>55</v>
      </c>
      <c r="B59" s="88" t="s">
        <v>34</v>
      </c>
      <c r="C59" s="88" t="s">
        <v>143</v>
      </c>
      <c r="D59" s="24">
        <v>280000</v>
      </c>
      <c r="E59" s="24">
        <v>475000</v>
      </c>
      <c r="F59" s="13">
        <v>10</v>
      </c>
      <c r="G59" s="9">
        <v>4</v>
      </c>
      <c r="H59" s="13">
        <f>Table2423256[STOK]-Table2423256[TERJUAL]</f>
        <v>6</v>
      </c>
      <c r="I59" s="5">
        <f>(Table2423256[HARGA JUAL]*Table2423256[TERJUAL])-(Table2423256[HARGA POKOK]*Table2423256[TERJUAL])</f>
        <v>780000</v>
      </c>
      <c r="J59" s="4">
        <f>(Table2423256[HARGA JUAL]*Table2423256[TERJUAL])</f>
        <v>1900000</v>
      </c>
      <c r="K59" s="4">
        <f>Table2423256[HARGA JUAL]*Table2423256[SISA]</f>
        <v>2850000</v>
      </c>
      <c r="L59" s="25">
        <f>Table2423256[HARGA POKOK]*Table2423256[STOK]</f>
        <v>2800000</v>
      </c>
      <c r="M59" s="25">
        <f>Table2423256[HARGA JUAL]*Table2423256[STOK]</f>
        <v>4750000</v>
      </c>
    </row>
    <row r="60" spans="1:13" x14ac:dyDescent="0.25">
      <c r="A60" s="22">
        <v>56</v>
      </c>
      <c r="B60" s="30" t="s">
        <v>40</v>
      </c>
      <c r="C60" s="30" t="s">
        <v>79</v>
      </c>
      <c r="D60" s="31">
        <v>30000</v>
      </c>
      <c r="E60" s="31">
        <v>40000</v>
      </c>
      <c r="F60" s="33">
        <v>0</v>
      </c>
      <c r="G60" s="93">
        <v>0.5</v>
      </c>
      <c r="H60" s="33">
        <f>(Table2423256[[#This Row],[STOK]]-G61)</f>
        <v>-28</v>
      </c>
      <c r="I60" s="34">
        <f>(Table2423256[HARGA JUAL]*Table2423256[TERJUAL])-(Table2423256[HARGA POKOK]*Table2423256[TERJUAL])</f>
        <v>5000</v>
      </c>
      <c r="J60" s="35">
        <f>(Table2423256[HARGA JUAL]*Table2423256[TERJUAL])</f>
        <v>20000</v>
      </c>
      <c r="K60" s="35"/>
      <c r="L60" s="36"/>
      <c r="M60" s="36"/>
    </row>
    <row r="61" spans="1:13" x14ac:dyDescent="0.25">
      <c r="A61" s="18">
        <v>57</v>
      </c>
      <c r="B61" s="30" t="s">
        <v>71</v>
      </c>
      <c r="C61" s="30" t="s">
        <v>70</v>
      </c>
      <c r="D61" s="31">
        <v>1000</v>
      </c>
      <c r="E61" s="31">
        <v>1700</v>
      </c>
      <c r="F61" s="33"/>
      <c r="G61" s="32">
        <v>28</v>
      </c>
      <c r="H61" s="33">
        <f>(Table2423256[[#This Row],[STOK]]-G62)</f>
        <v>-589.5</v>
      </c>
      <c r="I61" s="34">
        <f>(Table2423256[HARGA JUAL]*Table2423256[TERJUAL])-(Table2423256[HARGA POKOK]*Table2423256[TERJUAL])</f>
        <v>19600</v>
      </c>
      <c r="J61" s="35">
        <f>(Table2423256[HARGA JUAL]*Table2423256[TERJUAL])</f>
        <v>47600</v>
      </c>
      <c r="K61" s="35"/>
      <c r="L61" s="36"/>
      <c r="M61" s="36"/>
    </row>
    <row r="62" spans="1:13" x14ac:dyDescent="0.25">
      <c r="A62" s="22">
        <v>58</v>
      </c>
      <c r="B62" s="30" t="s">
        <v>68</v>
      </c>
      <c r="C62" s="30" t="s">
        <v>69</v>
      </c>
      <c r="D62" s="38">
        <v>6300</v>
      </c>
      <c r="E62" s="31">
        <v>10000</v>
      </c>
      <c r="F62" s="33"/>
      <c r="G62" s="32">
        <v>589.5</v>
      </c>
      <c r="H62" s="33">
        <f>(Table2423256[[#This Row],[STOK]]-G63)</f>
        <v>-13</v>
      </c>
      <c r="I62" s="34">
        <f>(Table2423256[HARGA JUAL]*Table2423256[TERJUAL])-(Table2423256[HARGA POKOK]*Table2423256[TERJUAL])</f>
        <v>2181150</v>
      </c>
      <c r="J62" s="35">
        <f>(Table2423256[HARGA JUAL]*Table2423256[TERJUAL])</f>
        <v>5895000</v>
      </c>
      <c r="K62" s="35"/>
      <c r="L62" s="36"/>
      <c r="M62" s="36"/>
    </row>
    <row r="63" spans="1:13" x14ac:dyDescent="0.25">
      <c r="A63" s="18">
        <v>59</v>
      </c>
      <c r="B63" s="30" t="s">
        <v>146</v>
      </c>
      <c r="C63" s="30" t="s">
        <v>152</v>
      </c>
      <c r="D63" s="38">
        <v>6200</v>
      </c>
      <c r="E63" s="31">
        <v>10000</v>
      </c>
      <c r="F63" s="33"/>
      <c r="G63" s="97" t="s">
        <v>156</v>
      </c>
      <c r="H63" s="33" t="e">
        <f>(Table2423256[[#This Row],[STOK]]-G64)</f>
        <v>#VALUE!</v>
      </c>
      <c r="I63" s="34">
        <f>(Table2423256[HARGA JUAL]*Table2423256[TERJUAL])-(Table2423256[HARGA POKOK]*Table2423256[TERJUAL])</f>
        <v>49400</v>
      </c>
      <c r="J63" s="35">
        <f>(Table2423256[HARGA JUAL]*Table2423256[TERJUAL])</f>
        <v>130000</v>
      </c>
      <c r="K63" s="35"/>
      <c r="L63" s="36"/>
      <c r="M63" s="36"/>
    </row>
    <row r="64" spans="1:13" ht="15.75" thickBot="1" x14ac:dyDescent="0.3">
      <c r="A64" s="22">
        <v>60</v>
      </c>
      <c r="B64" s="30" t="s">
        <v>147</v>
      </c>
      <c r="C64" s="30" t="s">
        <v>153</v>
      </c>
      <c r="D64" s="38">
        <v>5600</v>
      </c>
      <c r="E64" s="31">
        <v>10000</v>
      </c>
      <c r="F64" s="33"/>
      <c r="G64" s="97" t="s">
        <v>155</v>
      </c>
      <c r="H64" s="33">
        <f>(Table2423256[[#This Row],[STOK]]-G65)</f>
        <v>0</v>
      </c>
      <c r="I64" s="34" t="e">
        <f>(Table2423256[HARGA JUAL]*Table2423256[TERJUAL])-(Table2423256[HARGA POKOK]*Table2423256[TERJUAL])</f>
        <v>#VALUE!</v>
      </c>
      <c r="J64" s="35" t="e">
        <f>(Table2423256[HARGA JUAL]*Table2423256[TERJUAL])</f>
        <v>#VALUE!</v>
      </c>
      <c r="K64" s="35"/>
      <c r="L64" s="36"/>
      <c r="M64" s="36"/>
    </row>
    <row r="65" spans="1:13" ht="19.5" thickBot="1" x14ac:dyDescent="0.3">
      <c r="A65" s="378" t="s">
        <v>8</v>
      </c>
      <c r="B65" s="379"/>
      <c r="C65" s="379"/>
      <c r="D65" s="379"/>
      <c r="E65" s="380"/>
      <c r="F65" s="39"/>
      <c r="G65" s="39"/>
      <c r="H65" s="40"/>
      <c r="I65" s="41" t="e">
        <f>SUM(I5:I64)</f>
        <v>#VALUE!</v>
      </c>
      <c r="J65" s="26" t="e">
        <f>SUM(J5:J64)</f>
        <v>#VALUE!</v>
      </c>
      <c r="K65" s="41">
        <f>SUBTOTAL(109,Table2423256[TOTAL HARGA SISA BARANG])</f>
        <v>170514000</v>
      </c>
      <c r="L65" s="42">
        <f>SUM(L5:L64)</f>
        <v>136909400</v>
      </c>
      <c r="M65" s="42">
        <f>SUM(M5:M58)</f>
        <v>187895000</v>
      </c>
    </row>
    <row r="66" spans="1:13" x14ac:dyDescent="0.25">
      <c r="B66" s="1"/>
      <c r="C66" s="3"/>
      <c r="G66" s="1"/>
      <c r="H66" s="11"/>
      <c r="I66" s="6"/>
      <c r="J66" s="6"/>
      <c r="K66" s="6"/>
      <c r="L66" s="1"/>
      <c r="M66" s="1"/>
    </row>
    <row r="67" spans="1:13" x14ac:dyDescent="0.25">
      <c r="A67" s="28"/>
      <c r="B67" s="28"/>
      <c r="C67" s="28"/>
      <c r="E67" s="386" t="s">
        <v>151</v>
      </c>
      <c r="F67" s="386"/>
      <c r="G67" s="386"/>
      <c r="H67" s="386"/>
      <c r="I67" s="386"/>
      <c r="J67" s="386"/>
      <c r="K67" s="89"/>
      <c r="L67" s="1"/>
      <c r="M67" s="1"/>
    </row>
    <row r="68" spans="1:13" x14ac:dyDescent="0.25">
      <c r="A68" s="28"/>
      <c r="B68" s="28"/>
      <c r="C68" s="28"/>
      <c r="D68" s="388"/>
      <c r="E68" s="388"/>
      <c r="F68" s="388"/>
      <c r="G68" s="387"/>
      <c r="H68" s="387"/>
      <c r="I68" s="28"/>
      <c r="J68" s="28"/>
      <c r="K68" s="28"/>
      <c r="L68" s="7"/>
    </row>
    <row r="69" spans="1:13" x14ac:dyDescent="0.25">
      <c r="A69" s="28"/>
      <c r="B69" s="28"/>
      <c r="C69" s="28"/>
      <c r="D69" s="388"/>
      <c r="E69" s="388"/>
      <c r="F69" s="388"/>
      <c r="G69" s="94"/>
      <c r="H69" s="94"/>
      <c r="I69" s="28"/>
      <c r="J69" s="28"/>
      <c r="K69" s="28"/>
      <c r="L69" s="28"/>
    </row>
    <row r="70" spans="1:13" x14ac:dyDescent="0.25">
      <c r="A70" s="28"/>
      <c r="B70" s="28"/>
      <c r="C70" s="28"/>
      <c r="E70" s="393"/>
      <c r="F70" s="393"/>
      <c r="G70" s="393"/>
      <c r="H70" s="387"/>
      <c r="I70" s="387"/>
      <c r="J70" s="393"/>
      <c r="K70" s="393"/>
      <c r="L70" s="393"/>
      <c r="M70" s="7"/>
    </row>
    <row r="71" spans="1:13" x14ac:dyDescent="0.25">
      <c r="A71" s="28"/>
      <c r="B71" s="28"/>
      <c r="C71" s="28"/>
      <c r="E71" s="394" t="s">
        <v>8</v>
      </c>
      <c r="F71" s="394"/>
      <c r="G71" s="394"/>
      <c r="H71" s="395">
        <v>145000</v>
      </c>
      <c r="I71" s="395"/>
      <c r="J71" s="43" t="s">
        <v>157</v>
      </c>
      <c r="K71" s="7"/>
      <c r="L71" s="27"/>
      <c r="M71" s="1"/>
    </row>
    <row r="72" spans="1:13" ht="30" customHeight="1" x14ac:dyDescent="0.25">
      <c r="A72" s="28"/>
      <c r="B72" s="28"/>
      <c r="C72" s="28"/>
      <c r="E72" s="43"/>
      <c r="F72" s="389"/>
      <c r="G72" s="389"/>
      <c r="H72" s="389"/>
      <c r="I72" s="389"/>
      <c r="J72" s="389"/>
      <c r="K72" s="27"/>
      <c r="L72" s="27"/>
      <c r="M72" s="1"/>
    </row>
    <row r="73" spans="1:13" x14ac:dyDescent="0.25">
      <c r="A73" s="28"/>
      <c r="B73" s="28"/>
      <c r="C73" s="28"/>
      <c r="E73" s="43" t="s">
        <v>82</v>
      </c>
      <c r="F73" s="44"/>
      <c r="G73" s="390" t="e">
        <f>SUBTOTAL(109,Table2423256[TOTAL H. B. LAKU TERJUAL])</f>
        <v>#VALUE!</v>
      </c>
      <c r="H73" s="390"/>
      <c r="I73" s="390"/>
      <c r="J73" s="43"/>
      <c r="K73" s="7"/>
      <c r="L73" s="27"/>
      <c r="M73" s="1"/>
    </row>
    <row r="74" spans="1:13" x14ac:dyDescent="0.25">
      <c r="A74" s="28"/>
      <c r="B74" s="28"/>
      <c r="C74" s="28"/>
      <c r="E74" s="43" t="s">
        <v>83</v>
      </c>
      <c r="F74" s="45" t="s">
        <v>84</v>
      </c>
      <c r="G74" s="391">
        <v>145000</v>
      </c>
      <c r="H74" s="391"/>
      <c r="I74" s="391"/>
      <c r="J74" s="43"/>
      <c r="K74" s="7"/>
      <c r="L74" s="27"/>
      <c r="M74" s="1"/>
    </row>
    <row r="75" spans="1:13" x14ac:dyDescent="0.25">
      <c r="B75" s="1"/>
      <c r="C75" s="3"/>
      <c r="E75" s="43" t="s">
        <v>8</v>
      </c>
      <c r="F75" s="43"/>
      <c r="G75" s="392" t="e">
        <f>(G73-G74)</f>
        <v>#VALUE!</v>
      </c>
      <c r="H75" s="392"/>
      <c r="I75" s="392"/>
      <c r="J75" s="43"/>
      <c r="K75" s="7"/>
      <c r="L75" s="27"/>
      <c r="M75" s="1"/>
    </row>
    <row r="76" spans="1:13" x14ac:dyDescent="0.25">
      <c r="M76" s="1"/>
    </row>
    <row r="78" spans="1:13" ht="18.75" x14ac:dyDescent="0.3">
      <c r="A78" s="360" t="s">
        <v>99</v>
      </c>
      <c r="B78" s="360"/>
      <c r="C78" s="360"/>
      <c r="D78" s="360"/>
    </row>
    <row r="79" spans="1:13" ht="18.75" x14ac:dyDescent="0.3">
      <c r="A79" s="360" t="s">
        <v>150</v>
      </c>
      <c r="B79" s="360"/>
      <c r="C79" s="360"/>
      <c r="D79" s="360"/>
    </row>
    <row r="80" spans="1:13" ht="18.75" x14ac:dyDescent="0.3">
      <c r="A80" s="360" t="s">
        <v>75</v>
      </c>
      <c r="B80" s="360"/>
      <c r="C80" s="360"/>
      <c r="D80" s="360"/>
    </row>
    <row r="82" spans="1:4" ht="15.75" x14ac:dyDescent="0.25">
      <c r="A82" s="356" t="s">
        <v>111</v>
      </c>
      <c r="B82" s="357"/>
      <c r="C82" s="356" t="s">
        <v>77</v>
      </c>
      <c r="D82" s="357"/>
    </row>
    <row r="83" spans="1:4" ht="15.75" x14ac:dyDescent="0.25">
      <c r="A83" s="116" t="s">
        <v>103</v>
      </c>
      <c r="B83" s="117"/>
      <c r="C83" s="46">
        <v>28123600</v>
      </c>
      <c r="D83" s="48"/>
    </row>
    <row r="84" spans="1:4" ht="15.75" x14ac:dyDescent="0.25">
      <c r="A84" s="354" t="s">
        <v>102</v>
      </c>
      <c r="B84" s="355"/>
      <c r="C84" s="46"/>
      <c r="D84" s="46"/>
    </row>
    <row r="85" spans="1:4" ht="15.75" x14ac:dyDescent="0.25">
      <c r="A85" s="356" t="s">
        <v>104</v>
      </c>
      <c r="B85" s="357"/>
      <c r="C85" s="46"/>
      <c r="D85" s="98">
        <v>28123600</v>
      </c>
    </row>
    <row r="86" spans="1:4" ht="15.75" x14ac:dyDescent="0.25">
      <c r="A86" s="350" t="s">
        <v>106</v>
      </c>
      <c r="B86" s="351"/>
      <c r="C86" s="46"/>
      <c r="D86" s="46">
        <v>19830250</v>
      </c>
    </row>
    <row r="87" spans="1:4" ht="15.75" x14ac:dyDescent="0.25">
      <c r="A87" s="358" t="s">
        <v>161</v>
      </c>
      <c r="B87" s="359"/>
      <c r="C87" s="49"/>
      <c r="D87" s="50">
        <f>(D85-D86)</f>
        <v>8293350</v>
      </c>
    </row>
    <row r="88" spans="1:4" ht="15.75" x14ac:dyDescent="0.25">
      <c r="A88" s="358" t="s">
        <v>158</v>
      </c>
      <c r="B88" s="359"/>
      <c r="C88" s="49"/>
      <c r="D88" s="50">
        <v>98000</v>
      </c>
    </row>
    <row r="89" spans="1:4" ht="15.75" x14ac:dyDescent="0.25">
      <c r="A89" s="400" t="s">
        <v>162</v>
      </c>
      <c r="B89" s="401"/>
      <c r="C89" s="49"/>
      <c r="D89" s="50">
        <f>SUM(D87:D88)</f>
        <v>8391350</v>
      </c>
    </row>
    <row r="90" spans="1:4" ht="15.75" x14ac:dyDescent="0.25">
      <c r="A90" s="346" t="s">
        <v>105</v>
      </c>
      <c r="B90" s="347"/>
      <c r="C90" s="46"/>
      <c r="D90" s="54"/>
    </row>
    <row r="91" spans="1:4" ht="15.75" x14ac:dyDescent="0.25">
      <c r="A91" s="348" t="s">
        <v>97</v>
      </c>
      <c r="B91" s="349"/>
      <c r="C91" s="46">
        <v>2000000</v>
      </c>
      <c r="D91" s="46"/>
    </row>
    <row r="92" spans="1:4" ht="15.75" x14ac:dyDescent="0.25">
      <c r="A92" s="350" t="s">
        <v>98</v>
      </c>
      <c r="B92" s="351"/>
      <c r="C92" s="46">
        <v>416000</v>
      </c>
      <c r="D92" s="46"/>
    </row>
    <row r="93" spans="1:4" ht="15.75" x14ac:dyDescent="0.25">
      <c r="A93" s="99" t="s">
        <v>159</v>
      </c>
      <c r="B93" s="100"/>
      <c r="C93" s="402">
        <v>794000</v>
      </c>
      <c r="D93" s="398"/>
    </row>
    <row r="94" spans="1:4" ht="15.75" x14ac:dyDescent="0.25">
      <c r="A94" s="101" t="s">
        <v>160</v>
      </c>
      <c r="B94" s="102"/>
      <c r="C94" s="403"/>
      <c r="D94" s="399"/>
    </row>
    <row r="95" spans="1:4" ht="15.75" x14ac:dyDescent="0.25">
      <c r="A95" s="352" t="s">
        <v>107</v>
      </c>
      <c r="B95" s="353"/>
      <c r="C95" s="51" t="s">
        <v>117</v>
      </c>
      <c r="D95" s="47">
        <v>3210000</v>
      </c>
    </row>
    <row r="96" spans="1:4" ht="15.75" x14ac:dyDescent="0.25">
      <c r="A96" s="344" t="s">
        <v>108</v>
      </c>
      <c r="B96" s="345"/>
      <c r="C96" s="51"/>
      <c r="D96" s="51"/>
    </row>
    <row r="97" spans="1:4" ht="15.75" x14ac:dyDescent="0.25">
      <c r="A97" s="346" t="s">
        <v>109</v>
      </c>
      <c r="B97" s="347"/>
      <c r="C97" s="48"/>
      <c r="D97" s="50">
        <f>(D89-D95)</f>
        <v>5181350</v>
      </c>
    </row>
  </sheetData>
  <mergeCells count="34">
    <mergeCell ref="D93:D94"/>
    <mergeCell ref="A95:B95"/>
    <mergeCell ref="A96:B96"/>
    <mergeCell ref="A97:B97"/>
    <mergeCell ref="A89:B89"/>
    <mergeCell ref="A90:B90"/>
    <mergeCell ref="A91:B91"/>
    <mergeCell ref="A92:B92"/>
    <mergeCell ref="C93:C94"/>
    <mergeCell ref="A84:B84"/>
    <mergeCell ref="A85:B85"/>
    <mergeCell ref="A86:B86"/>
    <mergeCell ref="A87:B87"/>
    <mergeCell ref="A88:B88"/>
    <mergeCell ref="A78:D78"/>
    <mergeCell ref="A79:D79"/>
    <mergeCell ref="A80:D80"/>
    <mergeCell ref="A82:B82"/>
    <mergeCell ref="C82:D82"/>
    <mergeCell ref="A1:N1"/>
    <mergeCell ref="A2:N2"/>
    <mergeCell ref="A65:E65"/>
    <mergeCell ref="G68:H68"/>
    <mergeCell ref="G74:I74"/>
    <mergeCell ref="H70:I70"/>
    <mergeCell ref="H71:I71"/>
    <mergeCell ref="G75:I75"/>
    <mergeCell ref="E67:J67"/>
    <mergeCell ref="E70:G70"/>
    <mergeCell ref="J70:L70"/>
    <mergeCell ref="E71:G71"/>
    <mergeCell ref="F72:J72"/>
    <mergeCell ref="G73:I73"/>
    <mergeCell ref="D68:F69"/>
  </mergeCells>
  <pageMargins left="0.70866141732283472" right="0.51181102362204722" top="0.74803149606299213" bottom="0.15748031496062992" header="0.31496062992125984" footer="0.31496062992125984"/>
  <pageSetup paperSize="256" scale="62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6"/>
  <sheetViews>
    <sheetView topLeftCell="A64" workbookViewId="0">
      <selection activeCell="F26" sqref="F26"/>
    </sheetView>
  </sheetViews>
  <sheetFormatPr defaultRowHeight="15" x14ac:dyDescent="0.25"/>
  <cols>
    <col min="1" max="1" width="9.140625" customWidth="1"/>
    <col min="2" max="2" width="23.42578125" customWidth="1"/>
    <col min="3" max="3" width="25.28515625" customWidth="1"/>
    <col min="4" max="4" width="18.5703125" customWidth="1"/>
    <col min="5" max="5" width="15.42578125" customWidth="1"/>
    <col min="6" max="6" width="10.85546875" customWidth="1"/>
    <col min="7" max="7" width="13.7109375" customWidth="1"/>
    <col min="8" max="8" width="8.8554687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164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105" t="s">
        <v>0</v>
      </c>
      <c r="B4" s="106" t="s">
        <v>1</v>
      </c>
      <c r="C4" s="107" t="s">
        <v>2</v>
      </c>
      <c r="D4" s="106" t="s">
        <v>119</v>
      </c>
      <c r="E4" s="106" t="s">
        <v>3</v>
      </c>
      <c r="F4" s="108" t="s">
        <v>4</v>
      </c>
      <c r="G4" s="108" t="s">
        <v>5</v>
      </c>
      <c r="H4" s="109" t="s">
        <v>6</v>
      </c>
      <c r="I4" s="110" t="s">
        <v>7</v>
      </c>
      <c r="J4" s="110" t="s">
        <v>115</v>
      </c>
      <c r="K4" s="110" t="s">
        <v>92</v>
      </c>
      <c r="L4" s="108" t="s">
        <v>116</v>
      </c>
      <c r="M4" s="108" t="s">
        <v>81</v>
      </c>
      <c r="N4" s="108" t="s">
        <v>72</v>
      </c>
    </row>
    <row r="5" spans="1:14" x14ac:dyDescent="0.25">
      <c r="A5" s="18">
        <v>1</v>
      </c>
      <c r="B5" s="19" t="s">
        <v>27</v>
      </c>
      <c r="C5" s="19" t="s">
        <v>41</v>
      </c>
      <c r="D5" s="20">
        <v>89000</v>
      </c>
      <c r="E5" s="21">
        <v>95000</v>
      </c>
      <c r="F5" s="12">
        <v>2</v>
      </c>
      <c r="G5" s="8">
        <v>2</v>
      </c>
      <c r="H5" s="12">
        <f>(Table24232567[STOK])-(Table24232567[TERJUAL])</f>
        <v>0</v>
      </c>
      <c r="I5" s="5">
        <f>(Table24232567[HARGA JUAL]*Table24232567[TERJUAL])-(Table24232567[HARGA POKOK]*Table24232567[TERJUAL])</f>
        <v>12000</v>
      </c>
      <c r="J5" s="5">
        <f>(Table24232567[HARGA JUAL]*Table24232567[TERJUAL])</f>
        <v>190000</v>
      </c>
      <c r="K5" s="5">
        <f>Table24232567[HARGA JUAL]*Table24232567[SISA]</f>
        <v>0</v>
      </c>
      <c r="L5" s="25">
        <f>Table24232567[HARGA POKOK]*Table24232567[STOK]</f>
        <v>178000</v>
      </c>
      <c r="M5" s="25">
        <f>Table24232567[HARGA JUAL]*Table24232567[STOK]</f>
        <v>190000</v>
      </c>
    </row>
    <row r="6" spans="1:14" x14ac:dyDescent="0.25">
      <c r="A6" s="22">
        <v>2</v>
      </c>
      <c r="B6" s="19" t="s">
        <v>27</v>
      </c>
      <c r="C6" s="95" t="s">
        <v>42</v>
      </c>
      <c r="D6" s="24">
        <v>58500</v>
      </c>
      <c r="E6" s="24">
        <v>80000</v>
      </c>
      <c r="F6" s="13">
        <f>Table2423256[STOK]-Table2423256[TERJUAL]</f>
        <v>2</v>
      </c>
      <c r="G6" s="9">
        <v>2</v>
      </c>
      <c r="H6" s="12">
        <f>(Table24232567[STOK])-(Table24232567[TERJUAL])</f>
        <v>0</v>
      </c>
      <c r="I6" s="5">
        <f>(Table24232567[HARGA JUAL]*Table24232567[TERJUAL])-(Table24232567[HARGA POKOK]*Table24232567[TERJUAL])</f>
        <v>43000</v>
      </c>
      <c r="J6" s="4">
        <f>(Table24232567[HARGA JUAL]*Table24232567[TERJUAL])</f>
        <v>160000</v>
      </c>
      <c r="K6" s="4">
        <f>Table24232567[HARGA JUAL]*Table24232567[SISA]</f>
        <v>0</v>
      </c>
      <c r="L6" s="25">
        <f>Table24232567[HARGA POKOK]*Table24232567[STOK]</f>
        <v>117000</v>
      </c>
      <c r="M6" s="25">
        <f>Table24232567[HARGA JUAL]*Table24232567[STOK]</f>
        <v>160000</v>
      </c>
    </row>
    <row r="7" spans="1:14" x14ac:dyDescent="0.25">
      <c r="A7" s="18">
        <v>3</v>
      </c>
      <c r="B7" s="19" t="s">
        <v>27</v>
      </c>
      <c r="C7" s="19" t="s">
        <v>43</v>
      </c>
      <c r="D7" s="21">
        <v>52500</v>
      </c>
      <c r="E7" s="21">
        <v>75000</v>
      </c>
      <c r="F7" s="12">
        <f>Table2423256[STOK]-Table2423256[TERJUAL]</f>
        <v>35</v>
      </c>
      <c r="G7" s="8"/>
      <c r="H7" s="12">
        <f>(Table24232567[STOK])-(Table24232567[TERJUAL])</f>
        <v>35</v>
      </c>
      <c r="I7" s="5">
        <f>(Table24232567[HARGA JUAL]*Table24232567[TERJUAL])-(Table24232567[HARGA POKOK]*Table24232567[TERJUAL])</f>
        <v>0</v>
      </c>
      <c r="J7" s="5">
        <f>(Table24232567[HARGA JUAL]*Table24232567[TERJUAL])</f>
        <v>0</v>
      </c>
      <c r="K7" s="5">
        <f>Table24232567[HARGA JUAL]*Table24232567[SISA]</f>
        <v>2625000</v>
      </c>
      <c r="L7" s="25">
        <f>Table24232567[HARGA POKOK]*Table24232567[STOK]</f>
        <v>1837500</v>
      </c>
      <c r="M7" s="25">
        <f>Table24232567[HARGA JUAL]*Table24232567[STOK]</f>
        <v>2625000</v>
      </c>
    </row>
    <row r="8" spans="1:14" x14ac:dyDescent="0.25">
      <c r="A8" s="22">
        <v>4</v>
      </c>
      <c r="B8" s="19" t="s">
        <v>27</v>
      </c>
      <c r="C8" s="19" t="s">
        <v>44</v>
      </c>
      <c r="D8" s="21">
        <v>72500</v>
      </c>
      <c r="E8" s="21">
        <v>80000</v>
      </c>
      <c r="F8" s="12">
        <f>Table2423256[STOK]-Table2423256[TERJUAL]</f>
        <v>4</v>
      </c>
      <c r="G8" s="8">
        <v>4</v>
      </c>
      <c r="H8" s="12">
        <f>(Table24232567[STOK])-(Table24232567[TERJUAL])</f>
        <v>0</v>
      </c>
      <c r="I8" s="5">
        <f>(Table24232567[HARGA JUAL]*Table24232567[TERJUAL])-(Table24232567[HARGA POKOK]*Table24232567[TERJUAL])</f>
        <v>30000</v>
      </c>
      <c r="J8" s="5">
        <f>(Table24232567[HARGA JUAL]*Table24232567[TERJUAL])</f>
        <v>320000</v>
      </c>
      <c r="K8" s="5">
        <f>Table24232567[HARGA JUAL]*Table24232567[SISA]</f>
        <v>0</v>
      </c>
      <c r="L8" s="25">
        <f>Table24232567[HARGA POKOK]*Table24232567[STOK]</f>
        <v>290000</v>
      </c>
      <c r="M8" s="25">
        <f>Table24232567[HARGA JUAL]*Table24232567[STOK]</f>
        <v>320000</v>
      </c>
    </row>
    <row r="9" spans="1:14" x14ac:dyDescent="0.25">
      <c r="A9" s="18">
        <v>5</v>
      </c>
      <c r="B9" s="19" t="s">
        <v>27</v>
      </c>
      <c r="C9" s="19" t="s">
        <v>45</v>
      </c>
      <c r="D9" s="21">
        <v>58500</v>
      </c>
      <c r="E9" s="21">
        <v>80000</v>
      </c>
      <c r="F9" s="12">
        <f>Table2423256[STOK]-Table2423256[TERJUAL]</f>
        <v>23</v>
      </c>
      <c r="G9" s="8">
        <v>16</v>
      </c>
      <c r="H9" s="12">
        <f>(Table24232567[STOK])-(Table24232567[TERJUAL])</f>
        <v>7</v>
      </c>
      <c r="I9" s="5">
        <f>(Table24232567[HARGA JUAL]*Table24232567[TERJUAL])-(Table24232567[HARGA POKOK]*Table24232567[TERJUAL])</f>
        <v>344000</v>
      </c>
      <c r="J9" s="5">
        <f>(Table24232567[HARGA JUAL]*Table24232567[TERJUAL])</f>
        <v>1280000</v>
      </c>
      <c r="K9" s="5">
        <f>Table24232567[HARGA JUAL]*Table24232567[SISA]</f>
        <v>560000</v>
      </c>
      <c r="L9" s="25">
        <f>Table24232567[HARGA POKOK]*Table24232567[STOK]</f>
        <v>1345500</v>
      </c>
      <c r="M9" s="25">
        <f>Table24232567[HARGA JUAL]*Table24232567[STOK]</f>
        <v>1840000</v>
      </c>
    </row>
    <row r="10" spans="1:14" x14ac:dyDescent="0.25">
      <c r="A10" s="22">
        <v>6</v>
      </c>
      <c r="B10" s="19" t="s">
        <v>27</v>
      </c>
      <c r="C10" s="19" t="s">
        <v>46</v>
      </c>
      <c r="D10" s="21">
        <v>83500</v>
      </c>
      <c r="E10" s="21">
        <v>110000</v>
      </c>
      <c r="F10" s="12">
        <f>Table2423256[STOK]-Table2423256[TERJUAL]</f>
        <v>34</v>
      </c>
      <c r="G10" s="8"/>
      <c r="H10" s="12">
        <f>(Table24232567[STOK])-(Table24232567[TERJUAL])</f>
        <v>34</v>
      </c>
      <c r="I10" s="5">
        <f>(Table24232567[HARGA JUAL]*Table24232567[TERJUAL])-(Table24232567[HARGA POKOK]*Table24232567[TERJUAL])</f>
        <v>0</v>
      </c>
      <c r="J10" s="5">
        <f>(Table24232567[HARGA JUAL]*Table24232567[TERJUAL])</f>
        <v>0</v>
      </c>
      <c r="K10" s="5">
        <f>Table24232567[HARGA JUAL]*Table24232567[SISA]</f>
        <v>3740000</v>
      </c>
      <c r="L10" s="25">
        <f>Table24232567[HARGA POKOK]*Table24232567[STOK]</f>
        <v>2839000</v>
      </c>
      <c r="M10" s="25">
        <f>Table24232567[HARGA JUAL]*Table24232567[STOK]</f>
        <v>3740000</v>
      </c>
    </row>
    <row r="11" spans="1:14" x14ac:dyDescent="0.25">
      <c r="A11" s="18">
        <v>7</v>
      </c>
      <c r="B11" s="19" t="s">
        <v>28</v>
      </c>
      <c r="C11" s="19" t="s">
        <v>38</v>
      </c>
      <c r="D11" s="21">
        <v>88500</v>
      </c>
      <c r="E11" s="21">
        <v>115000</v>
      </c>
      <c r="F11" s="12">
        <f>Table2423256[STOK]-Table2423256[TERJUAL]</f>
        <v>14</v>
      </c>
      <c r="G11" s="8"/>
      <c r="H11" s="12">
        <f>(Table24232567[STOK])-(Table24232567[TERJUAL])</f>
        <v>14</v>
      </c>
      <c r="I11" s="5">
        <f>(Table24232567[HARGA JUAL]*Table24232567[TERJUAL])-(Table24232567[HARGA POKOK]*Table24232567[TERJUAL])</f>
        <v>0</v>
      </c>
      <c r="J11" s="5">
        <f>(Table24232567[HARGA JUAL]*Table24232567[TERJUAL])</f>
        <v>0</v>
      </c>
      <c r="K11" s="5">
        <f>Table24232567[HARGA JUAL]*Table24232567[SISA]</f>
        <v>1610000</v>
      </c>
      <c r="L11" s="25">
        <f>Table24232567[HARGA POKOK]*Table24232567[STOK]</f>
        <v>1239000</v>
      </c>
      <c r="M11" s="25">
        <f>Table24232567[HARGA JUAL]*Table24232567[STOK]</f>
        <v>1610000</v>
      </c>
    </row>
    <row r="12" spans="1:14" x14ac:dyDescent="0.25">
      <c r="A12" s="22">
        <v>8</v>
      </c>
      <c r="B12" s="95" t="s">
        <v>28</v>
      </c>
      <c r="C12" s="95" t="s">
        <v>10</v>
      </c>
      <c r="D12" s="24">
        <v>84500</v>
      </c>
      <c r="E12" s="24">
        <v>90000</v>
      </c>
      <c r="F12" s="13">
        <f>Table2423256[STOK]-Table2423256[TERJUAL]</f>
        <v>40</v>
      </c>
      <c r="G12" s="9">
        <v>8</v>
      </c>
      <c r="H12" s="12">
        <f>(Table24232567[STOK])-(Table24232567[TERJUAL])</f>
        <v>32</v>
      </c>
      <c r="I12" s="5">
        <f>(Table24232567[HARGA JUAL]*Table24232567[TERJUAL])-(Table24232567[HARGA POKOK]*Table24232567[TERJUAL])</f>
        <v>44000</v>
      </c>
      <c r="J12" s="4">
        <f>(Table24232567[HARGA JUAL]*Table24232567[TERJUAL])</f>
        <v>720000</v>
      </c>
      <c r="K12" s="4">
        <f>Table24232567[HARGA JUAL]*Table24232567[SISA]</f>
        <v>2880000</v>
      </c>
      <c r="L12" s="25">
        <f>Table24232567[HARGA POKOK]*Table24232567[STOK]</f>
        <v>3380000</v>
      </c>
      <c r="M12" s="25">
        <f>Table24232567[HARGA JUAL]*Table24232567[STOK]</f>
        <v>3600000</v>
      </c>
    </row>
    <row r="13" spans="1:14" x14ac:dyDescent="0.25">
      <c r="A13" s="18">
        <v>9</v>
      </c>
      <c r="B13" s="95" t="s">
        <v>28</v>
      </c>
      <c r="C13" s="19" t="s">
        <v>11</v>
      </c>
      <c r="D13" s="21">
        <v>158000</v>
      </c>
      <c r="E13" s="21">
        <v>180000</v>
      </c>
      <c r="F13" s="12">
        <f>Table2423256[STOK]-Table2423256[TERJUAL]</f>
        <v>0</v>
      </c>
      <c r="G13" s="8"/>
      <c r="H13" s="12">
        <f>(Table24232567[STOK])-(Table24232567[TERJUAL])</f>
        <v>0</v>
      </c>
      <c r="I13" s="5">
        <f>(Table24232567[HARGA JUAL]*Table24232567[TERJUAL])-(Table24232567[HARGA POKOK]*Table24232567[TERJUAL])</f>
        <v>0</v>
      </c>
      <c r="J13" s="5">
        <f>(Table24232567[HARGA JUAL]*Table24232567[TERJUAL])</f>
        <v>0</v>
      </c>
      <c r="K13" s="5">
        <f>Table24232567[HARGA JUAL]*Table24232567[SISA]</f>
        <v>0</v>
      </c>
      <c r="L13" s="25">
        <f>Table24232567[HARGA POKOK]*Table24232567[STOK]</f>
        <v>0</v>
      </c>
      <c r="M13" s="25">
        <f>Table24232567[HARGA JUAL]*Table24232567[STOK]</f>
        <v>0</v>
      </c>
    </row>
    <row r="14" spans="1:14" x14ac:dyDescent="0.25">
      <c r="A14" s="22">
        <v>10</v>
      </c>
      <c r="B14" s="95" t="s">
        <v>28</v>
      </c>
      <c r="C14" s="19" t="s">
        <v>12</v>
      </c>
      <c r="D14" s="21">
        <v>133000</v>
      </c>
      <c r="E14" s="21">
        <v>165000</v>
      </c>
      <c r="F14" s="12">
        <f>Table2423256[STOK]-Table2423256[TERJUAL]</f>
        <v>78</v>
      </c>
      <c r="G14" s="8">
        <v>3</v>
      </c>
      <c r="H14" s="12">
        <f>(Table24232567[STOK])-(Table24232567[TERJUAL])</f>
        <v>75</v>
      </c>
      <c r="I14" s="5">
        <f>(Table24232567[HARGA JUAL]*Table24232567[TERJUAL])-(Table24232567[HARGA POKOK]*Table24232567[TERJUAL])</f>
        <v>96000</v>
      </c>
      <c r="J14" s="5">
        <f>(Table24232567[HARGA JUAL]*Table24232567[TERJUAL])</f>
        <v>495000</v>
      </c>
      <c r="K14" s="5">
        <f>Table24232567[HARGA JUAL]*Table24232567[SISA]</f>
        <v>12375000</v>
      </c>
      <c r="L14" s="25">
        <f>Table24232567[HARGA POKOK]*Table24232567[STOK]</f>
        <v>10374000</v>
      </c>
      <c r="M14" s="25">
        <f>Table24232567[HARGA JUAL]*Table24232567[STOK]</f>
        <v>12870000</v>
      </c>
    </row>
    <row r="15" spans="1:14" x14ac:dyDescent="0.25">
      <c r="A15" s="18">
        <v>11</v>
      </c>
      <c r="B15" s="95" t="s">
        <v>28</v>
      </c>
      <c r="C15" s="19" t="s">
        <v>39</v>
      </c>
      <c r="D15" s="21">
        <v>33000</v>
      </c>
      <c r="E15" s="21">
        <v>40000</v>
      </c>
      <c r="F15" s="12">
        <f>Table2423256[STOK]-Table2423256[TERJUAL]</f>
        <v>9</v>
      </c>
      <c r="G15" s="8">
        <v>9</v>
      </c>
      <c r="H15" s="12">
        <f>(Table24232567[STOK])-(Table24232567[TERJUAL])</f>
        <v>0</v>
      </c>
      <c r="I15" s="5">
        <f>(Table24232567[HARGA JUAL]*Table24232567[TERJUAL])-(Table24232567[HARGA POKOK]*Table24232567[TERJUAL])</f>
        <v>63000</v>
      </c>
      <c r="J15" s="5">
        <f>(Table24232567[HARGA JUAL]*Table24232567[TERJUAL])</f>
        <v>360000</v>
      </c>
      <c r="K15" s="5">
        <f>Table24232567[HARGA JUAL]*Table24232567[SISA]</f>
        <v>0</v>
      </c>
      <c r="L15" s="25">
        <f>Table24232567[HARGA POKOK]*Table24232567[STOK]</f>
        <v>297000</v>
      </c>
      <c r="M15" s="25">
        <f>Table24232567[HARGA JUAL]*Table24232567[STOK]</f>
        <v>360000</v>
      </c>
    </row>
    <row r="16" spans="1:14" x14ac:dyDescent="0.25">
      <c r="A16" s="22">
        <v>12</v>
      </c>
      <c r="B16" s="95" t="s">
        <v>28</v>
      </c>
      <c r="C16" s="19" t="s">
        <v>47</v>
      </c>
      <c r="D16" s="21">
        <v>66000</v>
      </c>
      <c r="E16" s="21">
        <v>85000</v>
      </c>
      <c r="F16" s="12">
        <f>Table2423256[STOK]-Table2423256[TERJUAL]</f>
        <v>66</v>
      </c>
      <c r="G16" s="8">
        <v>1</v>
      </c>
      <c r="H16" s="12">
        <f>(Table24232567[STOK])-(Table24232567[TERJUAL])</f>
        <v>65</v>
      </c>
      <c r="I16" s="5">
        <f>(Table24232567[HARGA JUAL]*Table24232567[TERJUAL])-(Table24232567[HARGA POKOK]*Table24232567[TERJUAL])</f>
        <v>19000</v>
      </c>
      <c r="J16" s="5">
        <f>(Table24232567[HARGA JUAL]*Table24232567[TERJUAL])</f>
        <v>85000</v>
      </c>
      <c r="K16" s="5">
        <f>Table24232567[HARGA JUAL]*Table24232567[SISA]</f>
        <v>5525000</v>
      </c>
      <c r="L16" s="25">
        <f>Table24232567[HARGA POKOK]*Table24232567[STOK]</f>
        <v>4356000</v>
      </c>
      <c r="M16" s="25">
        <f>Table24232567[HARGA JUAL]*Table24232567[STOK]</f>
        <v>5610000</v>
      </c>
    </row>
    <row r="17" spans="1:13" x14ac:dyDescent="0.25">
      <c r="A17" s="18">
        <v>13</v>
      </c>
      <c r="B17" s="95" t="s">
        <v>28</v>
      </c>
      <c r="C17" s="19" t="s">
        <v>48</v>
      </c>
      <c r="D17" s="21">
        <v>22500</v>
      </c>
      <c r="E17" s="21">
        <v>33000</v>
      </c>
      <c r="F17" s="12">
        <f>Table2423256[STOK]-Table2423256[TERJUAL]</f>
        <v>389</v>
      </c>
      <c r="G17" s="8">
        <v>4</v>
      </c>
      <c r="H17" s="12">
        <f>(Table24232567[STOK])-(Table24232567[TERJUAL])</f>
        <v>385</v>
      </c>
      <c r="I17" s="5">
        <f>(Table24232567[HARGA JUAL]*Table24232567[TERJUAL])-(Table24232567[HARGA POKOK]*Table24232567[TERJUAL])</f>
        <v>42000</v>
      </c>
      <c r="J17" s="5">
        <f>(Table24232567[HARGA JUAL]*Table24232567[TERJUAL])</f>
        <v>132000</v>
      </c>
      <c r="K17" s="5">
        <f>Table24232567[HARGA JUAL]*Table24232567[SISA]</f>
        <v>12705000</v>
      </c>
      <c r="L17" s="25">
        <f>Table24232567[HARGA POKOK]*Table24232567[STOK]</f>
        <v>8752500</v>
      </c>
      <c r="M17" s="25">
        <f>Table24232567[HARGA JUAL]*Table24232567[STOK]</f>
        <v>12837000</v>
      </c>
    </row>
    <row r="18" spans="1:13" x14ac:dyDescent="0.25">
      <c r="A18" s="22">
        <v>14</v>
      </c>
      <c r="B18" s="95" t="s">
        <v>28</v>
      </c>
      <c r="C18" s="19" t="s">
        <v>49</v>
      </c>
      <c r="D18" s="21">
        <v>56000</v>
      </c>
      <c r="E18" s="21">
        <v>80000</v>
      </c>
      <c r="F18" s="12">
        <f>Table2423256[STOK]-Table2423256[TERJUAL]</f>
        <v>71</v>
      </c>
      <c r="G18" s="8">
        <v>2</v>
      </c>
      <c r="H18" s="12">
        <f>(Table24232567[STOK])-(Table24232567[TERJUAL])</f>
        <v>69</v>
      </c>
      <c r="I18" s="5">
        <f>(Table24232567[HARGA JUAL]*Table24232567[TERJUAL])-(Table24232567[HARGA POKOK]*Table24232567[TERJUAL])</f>
        <v>48000</v>
      </c>
      <c r="J18" s="5">
        <f>(Table24232567[HARGA JUAL]*Table24232567[TERJUAL])</f>
        <v>160000</v>
      </c>
      <c r="K18" s="5">
        <f>Table24232567[HARGA JUAL]*Table24232567[SISA]</f>
        <v>5520000</v>
      </c>
      <c r="L18" s="25">
        <f>Table24232567[HARGA POKOK]*Table24232567[STOK]</f>
        <v>3976000</v>
      </c>
      <c r="M18" s="25">
        <f>Table24232567[HARGA JUAL]*Table24232567[STOK]</f>
        <v>5680000</v>
      </c>
    </row>
    <row r="19" spans="1:13" x14ac:dyDescent="0.25">
      <c r="A19" s="18">
        <v>15</v>
      </c>
      <c r="B19" s="95" t="s">
        <v>28</v>
      </c>
      <c r="C19" s="19" t="s">
        <v>50</v>
      </c>
      <c r="D19" s="21">
        <v>40000</v>
      </c>
      <c r="E19" s="21">
        <v>60000</v>
      </c>
      <c r="F19" s="12">
        <f>Table2423256[STOK]-Table2423256[TERJUAL]</f>
        <v>8</v>
      </c>
      <c r="G19" s="8">
        <v>3</v>
      </c>
      <c r="H19" s="12">
        <f>(Table24232567[STOK])-(Table24232567[TERJUAL])</f>
        <v>5</v>
      </c>
      <c r="I19" s="5">
        <f>(Table24232567[HARGA JUAL]*Table24232567[TERJUAL])-(Table24232567[HARGA POKOK]*Table24232567[TERJUAL])</f>
        <v>60000</v>
      </c>
      <c r="J19" s="5">
        <f>(Table24232567[HARGA JUAL]*Table24232567[TERJUAL])</f>
        <v>180000</v>
      </c>
      <c r="K19" s="5">
        <f>Table24232567[HARGA JUAL]*Table24232567[SISA]</f>
        <v>300000</v>
      </c>
      <c r="L19" s="25">
        <f>Table24232567[HARGA POKOK]*Table24232567[STOK]</f>
        <v>320000</v>
      </c>
      <c r="M19" s="25">
        <f>Table24232567[HARGA JUAL]*Table24232567[STOK]</f>
        <v>480000</v>
      </c>
    </row>
    <row r="20" spans="1:13" x14ac:dyDescent="0.25">
      <c r="A20" s="22">
        <v>16</v>
      </c>
      <c r="B20" s="95" t="s">
        <v>28</v>
      </c>
      <c r="C20" s="19" t="s">
        <v>51</v>
      </c>
      <c r="D20" s="21">
        <v>60000</v>
      </c>
      <c r="E20" s="21">
        <v>80000</v>
      </c>
      <c r="F20" s="12">
        <f>Table2423256[STOK]-Table2423256[TERJUAL]</f>
        <v>70</v>
      </c>
      <c r="G20" s="8">
        <v>1</v>
      </c>
      <c r="H20" s="12">
        <f>(Table24232567[STOK])-(Table24232567[TERJUAL])</f>
        <v>69</v>
      </c>
      <c r="I20" s="5">
        <f>(Table24232567[HARGA JUAL]*Table24232567[TERJUAL])-(Table24232567[HARGA POKOK]*Table24232567[TERJUAL])</f>
        <v>20000</v>
      </c>
      <c r="J20" s="5">
        <f>(Table24232567[HARGA JUAL]*Table24232567[TERJUAL])</f>
        <v>80000</v>
      </c>
      <c r="K20" s="5">
        <f>Table24232567[HARGA JUAL]*Table24232567[SISA]</f>
        <v>5520000</v>
      </c>
      <c r="L20" s="25">
        <f>Table24232567[HARGA POKOK]*Table24232567[STOK]</f>
        <v>4200000</v>
      </c>
      <c r="M20" s="25">
        <f>Table24232567[HARGA JUAL]*Table24232567[STOK]</f>
        <v>5600000</v>
      </c>
    </row>
    <row r="21" spans="1:13" x14ac:dyDescent="0.25">
      <c r="A21" s="18">
        <v>17</v>
      </c>
      <c r="B21" s="95" t="s">
        <v>28</v>
      </c>
      <c r="C21" s="19" t="s">
        <v>52</v>
      </c>
      <c r="D21" s="21">
        <v>30000</v>
      </c>
      <c r="E21" s="21">
        <v>45000</v>
      </c>
      <c r="F21" s="12">
        <f>Table2423256[STOK]-Table2423256[TERJUAL]</f>
        <v>87</v>
      </c>
      <c r="G21" s="8">
        <v>3</v>
      </c>
      <c r="H21" s="12">
        <f>(Table24232567[STOK])-(Table24232567[TERJUAL])</f>
        <v>84</v>
      </c>
      <c r="I21" s="5">
        <f>(Table24232567[HARGA JUAL]*Table24232567[TERJUAL])-(Table24232567[HARGA POKOK]*Table24232567[TERJUAL])</f>
        <v>45000</v>
      </c>
      <c r="J21" s="5">
        <f>(Table24232567[HARGA JUAL]*Table24232567[TERJUAL])</f>
        <v>135000</v>
      </c>
      <c r="K21" s="5">
        <f>Table24232567[HARGA JUAL]*Table24232567[SISA]</f>
        <v>3780000</v>
      </c>
      <c r="L21" s="25">
        <f>Table24232567[HARGA POKOK]*Table24232567[STOK]</f>
        <v>2610000</v>
      </c>
      <c r="M21" s="25">
        <f>Table24232567[HARGA JUAL]*Table24232567[STOK]</f>
        <v>3915000</v>
      </c>
    </row>
    <row r="22" spans="1:13" x14ac:dyDescent="0.25">
      <c r="A22" s="22">
        <v>18</v>
      </c>
      <c r="B22" s="95" t="s">
        <v>28</v>
      </c>
      <c r="C22" s="19" t="s">
        <v>53</v>
      </c>
      <c r="D22" s="21">
        <v>3000</v>
      </c>
      <c r="E22" s="21">
        <v>5000</v>
      </c>
      <c r="F22" s="12">
        <f>Table2423256[STOK]-Table2423256[TERJUAL]</f>
        <v>1</v>
      </c>
      <c r="G22" s="8">
        <v>1</v>
      </c>
      <c r="H22" s="12">
        <f>(Table24232567[STOK])-(Table24232567[TERJUAL])</f>
        <v>0</v>
      </c>
      <c r="I22" s="5">
        <f>(Table24232567[HARGA JUAL]*Table24232567[TERJUAL])-(Table24232567[HARGA POKOK]*Table24232567[TERJUAL])</f>
        <v>2000</v>
      </c>
      <c r="J22" s="5">
        <f>(Table24232567[HARGA JUAL]*Table24232567[TERJUAL])</f>
        <v>5000</v>
      </c>
      <c r="K22" s="5">
        <f>Table24232567[HARGA JUAL]*Table24232567[SISA]</f>
        <v>0</v>
      </c>
      <c r="L22" s="25">
        <f>Table24232567[HARGA POKOK]*Table24232567[STOK]</f>
        <v>3000</v>
      </c>
      <c r="M22" s="25">
        <f>Table24232567[HARGA JUAL]*Table24232567[STOK]</f>
        <v>5000</v>
      </c>
    </row>
    <row r="23" spans="1:13" x14ac:dyDescent="0.25">
      <c r="A23" s="18">
        <v>19</v>
      </c>
      <c r="B23" s="19" t="s">
        <v>29</v>
      </c>
      <c r="C23" s="19" t="s">
        <v>54</v>
      </c>
      <c r="D23" s="21">
        <v>47500</v>
      </c>
      <c r="E23" s="21">
        <v>60000</v>
      </c>
      <c r="F23" s="12">
        <f>Table2423256[STOK]-Table2423256[TERJUAL]</f>
        <v>100</v>
      </c>
      <c r="G23" s="8"/>
      <c r="H23" s="12">
        <f>(Table24232567[STOK])-(Table24232567[TERJUAL])</f>
        <v>100</v>
      </c>
      <c r="I23" s="5">
        <f>(Table24232567[HARGA JUAL]*Table24232567[TERJUAL])-(Table24232567[HARGA POKOK]*Table24232567[TERJUAL])</f>
        <v>0</v>
      </c>
      <c r="J23" s="5">
        <f>(Table24232567[HARGA JUAL]*Table24232567[TERJUAL])</f>
        <v>0</v>
      </c>
      <c r="K23" s="5">
        <f>Table24232567[HARGA JUAL]*Table24232567[SISA]</f>
        <v>6000000</v>
      </c>
      <c r="L23" s="25">
        <f>Table24232567[HARGA POKOK]*Table24232567[STOK]</f>
        <v>4750000</v>
      </c>
      <c r="M23" s="25">
        <f>Table24232567[HARGA JUAL]*Table24232567[STOK]</f>
        <v>6000000</v>
      </c>
    </row>
    <row r="24" spans="1:13" x14ac:dyDescent="0.25">
      <c r="A24" s="22">
        <v>20</v>
      </c>
      <c r="B24" s="19" t="s">
        <v>29</v>
      </c>
      <c r="C24" s="19" t="s">
        <v>55</v>
      </c>
      <c r="D24" s="21">
        <v>133500</v>
      </c>
      <c r="E24" s="21">
        <v>143000</v>
      </c>
      <c r="F24" s="12">
        <f>Table2423256[STOK]-Table2423256[TERJUAL]</f>
        <v>1</v>
      </c>
      <c r="G24" s="8">
        <v>1</v>
      </c>
      <c r="H24" s="12">
        <f>(Table24232567[STOK])-(Table24232567[TERJUAL])</f>
        <v>0</v>
      </c>
      <c r="I24" s="5">
        <f>(Table24232567[HARGA JUAL]*Table24232567[TERJUAL])-(Table24232567[HARGA POKOK]*Table24232567[TERJUAL])</f>
        <v>9500</v>
      </c>
      <c r="J24" s="5">
        <f>(Table24232567[HARGA JUAL]*Table24232567[TERJUAL])</f>
        <v>143000</v>
      </c>
      <c r="K24" s="5">
        <f>Table24232567[HARGA JUAL]*Table24232567[SISA]</f>
        <v>0</v>
      </c>
      <c r="L24" s="25">
        <f>Table24232567[HARGA POKOK]*Table24232567[STOK]</f>
        <v>133500</v>
      </c>
      <c r="M24" s="25">
        <f>Table24232567[HARGA JUAL]*Table24232567[STOK]</f>
        <v>143000</v>
      </c>
    </row>
    <row r="25" spans="1:13" x14ac:dyDescent="0.25">
      <c r="A25" s="18">
        <v>21</v>
      </c>
      <c r="B25" s="19" t="s">
        <v>29</v>
      </c>
      <c r="C25" s="95" t="s">
        <v>56</v>
      </c>
      <c r="D25" s="24">
        <v>77500</v>
      </c>
      <c r="E25" s="24">
        <v>120000</v>
      </c>
      <c r="F25" s="13">
        <f>Table2423256[STOK]-Table2423256[TERJUAL]</f>
        <v>4</v>
      </c>
      <c r="G25" s="9">
        <v>4</v>
      </c>
      <c r="H25" s="12">
        <f>(Table24232567[STOK])-(Table24232567[TERJUAL])</f>
        <v>0</v>
      </c>
      <c r="I25" s="5">
        <f>(Table24232567[HARGA JUAL]*Table24232567[TERJUAL])-(Table24232567[HARGA POKOK]*Table24232567[TERJUAL])</f>
        <v>170000</v>
      </c>
      <c r="J25" s="4">
        <f>(Table24232567[HARGA JUAL]*Table24232567[TERJUAL])</f>
        <v>480000</v>
      </c>
      <c r="K25" s="4">
        <f>Table24232567[HARGA JUAL]*Table24232567[SISA]</f>
        <v>0</v>
      </c>
      <c r="L25" s="25">
        <f>Table24232567[HARGA POKOK]*Table24232567[STOK]</f>
        <v>310000</v>
      </c>
      <c r="M25" s="25">
        <f>Table24232567[HARGA JUAL]*Table24232567[STOK]</f>
        <v>480000</v>
      </c>
    </row>
    <row r="26" spans="1:13" x14ac:dyDescent="0.25">
      <c r="A26" s="22">
        <v>22</v>
      </c>
      <c r="B26" s="19" t="s">
        <v>29</v>
      </c>
      <c r="C26" s="19" t="s">
        <v>57</v>
      </c>
      <c r="D26" s="21">
        <v>165000</v>
      </c>
      <c r="E26" s="21">
        <v>190000</v>
      </c>
      <c r="F26" s="12">
        <f>Table2423256[STOK]-Table2423256[TERJUAL]</f>
        <v>31</v>
      </c>
      <c r="G26" s="8">
        <v>1</v>
      </c>
      <c r="H26" s="12">
        <f>(Table24232567[STOK])-(Table24232567[TERJUAL])</f>
        <v>30</v>
      </c>
      <c r="I26" s="5">
        <f>(Table24232567[HARGA JUAL]*Table24232567[TERJUAL])-(Table24232567[HARGA POKOK]*Table24232567[TERJUAL])</f>
        <v>25000</v>
      </c>
      <c r="J26" s="5">
        <f>(Table24232567[HARGA JUAL]*Table24232567[TERJUAL])</f>
        <v>190000</v>
      </c>
      <c r="K26" s="5">
        <f>Table24232567[HARGA JUAL]*Table24232567[SISA]</f>
        <v>5700000</v>
      </c>
      <c r="L26" s="25">
        <f>Table24232567[HARGA POKOK]*Table24232567[STOK]</f>
        <v>5115000</v>
      </c>
      <c r="M26" s="25">
        <f>Table24232567[HARGA JUAL]*Table24232567[STOK]</f>
        <v>5890000</v>
      </c>
    </row>
    <row r="27" spans="1:13" x14ac:dyDescent="0.25">
      <c r="A27" s="18">
        <v>23</v>
      </c>
      <c r="B27" s="19" t="s">
        <v>30</v>
      </c>
      <c r="C27" s="19" t="s">
        <v>58</v>
      </c>
      <c r="D27" s="21">
        <v>10000</v>
      </c>
      <c r="E27" s="21">
        <v>18000</v>
      </c>
      <c r="F27" s="12">
        <f>Table2423256[STOK]-Table2423256[TERJUAL]</f>
        <v>62</v>
      </c>
      <c r="G27" s="8">
        <v>5</v>
      </c>
      <c r="H27" s="12">
        <f>(Table24232567[STOK])-(Table24232567[TERJUAL])</f>
        <v>57</v>
      </c>
      <c r="I27" s="5">
        <f>(Table24232567[HARGA JUAL]*Table24232567[TERJUAL])-(Table24232567[HARGA POKOK]*Table24232567[TERJUAL])</f>
        <v>40000</v>
      </c>
      <c r="J27" s="5">
        <f>(Table24232567[HARGA JUAL]*Table24232567[TERJUAL])</f>
        <v>90000</v>
      </c>
      <c r="K27" s="5">
        <f>Table24232567[HARGA JUAL]*Table24232567[SISA]</f>
        <v>1026000</v>
      </c>
      <c r="L27" s="25">
        <f>Table24232567[HARGA POKOK]*Table24232567[STOK]</f>
        <v>620000</v>
      </c>
      <c r="M27" s="25">
        <f>Table24232567[HARGA JUAL]*Table24232567[STOK]</f>
        <v>1116000</v>
      </c>
    </row>
    <row r="28" spans="1:13" x14ac:dyDescent="0.25">
      <c r="A28" s="22">
        <v>24</v>
      </c>
      <c r="B28" s="19" t="s">
        <v>30</v>
      </c>
      <c r="C28" s="19" t="s">
        <v>59</v>
      </c>
      <c r="D28" s="21">
        <v>27500</v>
      </c>
      <c r="E28" s="21">
        <v>45000</v>
      </c>
      <c r="F28" s="12">
        <f>Table2423256[STOK]-Table2423256[TERJUAL]</f>
        <v>37</v>
      </c>
      <c r="G28" s="8"/>
      <c r="H28" s="12">
        <f>(Table24232567[STOK])-(Table24232567[TERJUAL])</f>
        <v>37</v>
      </c>
      <c r="I28" s="5">
        <f>(Table24232567[HARGA JUAL]*Table24232567[TERJUAL])-(Table24232567[HARGA POKOK]*Table24232567[TERJUAL])</f>
        <v>0</v>
      </c>
      <c r="J28" s="5">
        <f>(Table24232567[HARGA JUAL]*Table24232567[TERJUAL])</f>
        <v>0</v>
      </c>
      <c r="K28" s="5">
        <f>Table24232567[HARGA JUAL]*Table24232567[SISA]</f>
        <v>1665000</v>
      </c>
      <c r="L28" s="25">
        <f>Table24232567[HARGA POKOK]*Table24232567[STOK]</f>
        <v>1017500</v>
      </c>
      <c r="M28" s="25">
        <f>Table24232567[HARGA JUAL]*Table24232567[STOK]</f>
        <v>1665000</v>
      </c>
    </row>
    <row r="29" spans="1:13" x14ac:dyDescent="0.25">
      <c r="A29" s="18">
        <v>25</v>
      </c>
      <c r="B29" s="19" t="s">
        <v>30</v>
      </c>
      <c r="C29" s="19" t="s">
        <v>60</v>
      </c>
      <c r="D29" s="21">
        <v>12500</v>
      </c>
      <c r="E29" s="21">
        <v>16000</v>
      </c>
      <c r="F29" s="12">
        <f>Table2423256[STOK]-Table2423256[TERJUAL]</f>
        <v>5</v>
      </c>
      <c r="G29" s="8">
        <v>5</v>
      </c>
      <c r="H29" s="12">
        <f>(Table24232567[STOK])-(Table24232567[TERJUAL])</f>
        <v>0</v>
      </c>
      <c r="I29" s="5">
        <f>(Table24232567[HARGA JUAL]*Table24232567[TERJUAL])-(Table24232567[HARGA POKOK]*Table24232567[TERJUAL])</f>
        <v>17500</v>
      </c>
      <c r="J29" s="5">
        <f>(Table24232567[HARGA JUAL]*Table24232567[TERJUAL])</f>
        <v>80000</v>
      </c>
      <c r="K29" s="5">
        <f>Table24232567[HARGA JUAL]*Table24232567[SISA]</f>
        <v>0</v>
      </c>
      <c r="L29" s="25">
        <f>Table24232567[HARGA POKOK]*Table24232567[STOK]</f>
        <v>62500</v>
      </c>
      <c r="M29" s="25">
        <f>Table24232567[HARGA JUAL]*Table24232567[STOK]</f>
        <v>80000</v>
      </c>
    </row>
    <row r="30" spans="1:13" x14ac:dyDescent="0.25">
      <c r="A30" s="22">
        <v>26</v>
      </c>
      <c r="B30" s="19" t="s">
        <v>30</v>
      </c>
      <c r="C30" s="19" t="s">
        <v>13</v>
      </c>
      <c r="D30" s="21">
        <v>33500</v>
      </c>
      <c r="E30" s="21">
        <v>50000</v>
      </c>
      <c r="F30" s="12">
        <f>Table2423256[STOK]-Table2423256[TERJUAL]</f>
        <v>27</v>
      </c>
      <c r="G30" s="8">
        <v>2</v>
      </c>
      <c r="H30" s="12">
        <f>(Table24232567[STOK])-(Table24232567[TERJUAL])</f>
        <v>25</v>
      </c>
      <c r="I30" s="5">
        <f>(Table24232567[HARGA JUAL]*Table24232567[TERJUAL])-(Table24232567[HARGA POKOK]*Table24232567[TERJUAL])</f>
        <v>33000</v>
      </c>
      <c r="J30" s="5">
        <f>(Table24232567[HARGA JUAL]*Table24232567[TERJUAL])</f>
        <v>100000</v>
      </c>
      <c r="K30" s="5">
        <f>Table24232567[HARGA JUAL]*Table24232567[SISA]</f>
        <v>1250000</v>
      </c>
      <c r="L30" s="25">
        <f>Table24232567[HARGA POKOK]*Table24232567[STOK]</f>
        <v>904500</v>
      </c>
      <c r="M30" s="25">
        <f>Table24232567[HARGA JUAL]*Table24232567[STOK]</f>
        <v>1350000</v>
      </c>
    </row>
    <row r="31" spans="1:13" x14ac:dyDescent="0.25">
      <c r="A31" s="18">
        <v>27</v>
      </c>
      <c r="B31" s="19" t="s">
        <v>30</v>
      </c>
      <c r="C31" s="19" t="s">
        <v>14</v>
      </c>
      <c r="D31" s="21">
        <v>8500</v>
      </c>
      <c r="E31" s="21">
        <v>12000</v>
      </c>
      <c r="F31" s="12">
        <f>Table2423256[STOK]-Table2423256[TERJUAL]</f>
        <v>242</v>
      </c>
      <c r="G31" s="8">
        <v>10</v>
      </c>
      <c r="H31" s="12">
        <f>(Table24232567[STOK])-(Table24232567[TERJUAL])</f>
        <v>232</v>
      </c>
      <c r="I31" s="5">
        <f>(Table24232567[HARGA JUAL]*Table24232567[TERJUAL])-(Table24232567[HARGA POKOK]*Table24232567[TERJUAL])</f>
        <v>35000</v>
      </c>
      <c r="J31" s="5">
        <f>(Table24232567[HARGA JUAL]*Table24232567[TERJUAL])</f>
        <v>120000</v>
      </c>
      <c r="K31" s="5">
        <f>Table24232567[HARGA JUAL]*Table24232567[SISA]</f>
        <v>2784000</v>
      </c>
      <c r="L31" s="25">
        <f>Table24232567[HARGA POKOK]*Table24232567[STOK]</f>
        <v>2057000</v>
      </c>
      <c r="M31" s="25">
        <f>Table24232567[HARGA JUAL]*Table24232567[STOK]</f>
        <v>2904000</v>
      </c>
    </row>
    <row r="32" spans="1:13" x14ac:dyDescent="0.25">
      <c r="A32" s="22">
        <v>28</v>
      </c>
      <c r="B32" s="19" t="s">
        <v>30</v>
      </c>
      <c r="C32" s="19" t="s">
        <v>15</v>
      </c>
      <c r="D32" s="21">
        <v>30500</v>
      </c>
      <c r="E32" s="21">
        <v>45000</v>
      </c>
      <c r="F32" s="12">
        <f>Table2423256[STOK]-Table2423256[TERJUAL]</f>
        <v>39</v>
      </c>
      <c r="G32" s="8">
        <v>3</v>
      </c>
      <c r="H32" s="12">
        <f>(Table24232567[STOK])-(Table24232567[TERJUAL])</f>
        <v>36</v>
      </c>
      <c r="I32" s="5">
        <f>(Table24232567[HARGA JUAL]*Table24232567[TERJUAL])-(Table24232567[HARGA POKOK]*Table24232567[TERJUAL])</f>
        <v>43500</v>
      </c>
      <c r="J32" s="5">
        <f>(Table24232567[HARGA JUAL]*Table24232567[TERJUAL])</f>
        <v>135000</v>
      </c>
      <c r="K32" s="5">
        <f>Table24232567[HARGA JUAL]*Table24232567[SISA]</f>
        <v>1620000</v>
      </c>
      <c r="L32" s="25">
        <f>Table24232567[HARGA POKOK]*Table24232567[STOK]</f>
        <v>1189500</v>
      </c>
      <c r="M32" s="25">
        <f>Table24232567[HARGA JUAL]*Table24232567[STOK]</f>
        <v>1755000</v>
      </c>
    </row>
    <row r="33" spans="1:13" x14ac:dyDescent="0.25">
      <c r="A33" s="18">
        <v>29</v>
      </c>
      <c r="B33" s="19" t="s">
        <v>30</v>
      </c>
      <c r="C33" s="19" t="s">
        <v>16</v>
      </c>
      <c r="D33" s="21">
        <v>7500</v>
      </c>
      <c r="E33" s="21">
        <v>10000</v>
      </c>
      <c r="F33" s="12">
        <f>Table2423256[STOK]-Table2423256[TERJUAL]</f>
        <v>248</v>
      </c>
      <c r="G33" s="8">
        <v>11</v>
      </c>
      <c r="H33" s="12">
        <f>(Table24232567[STOK])-(Table24232567[TERJUAL])</f>
        <v>237</v>
      </c>
      <c r="I33" s="5">
        <f>(Table24232567[HARGA JUAL]*Table24232567[TERJUAL])-(Table24232567[HARGA POKOK]*Table24232567[TERJUAL])</f>
        <v>27500</v>
      </c>
      <c r="J33" s="5">
        <f>(Table24232567[HARGA JUAL]*Table24232567[TERJUAL])</f>
        <v>110000</v>
      </c>
      <c r="K33" s="5">
        <f>Table24232567[HARGA JUAL]*Table24232567[SISA]</f>
        <v>2370000</v>
      </c>
      <c r="L33" s="25">
        <f>Table24232567[HARGA POKOK]*Table24232567[STOK]</f>
        <v>1860000</v>
      </c>
      <c r="M33" s="25">
        <f>Table24232567[HARGA JUAL]*Table24232567[STOK]</f>
        <v>2480000</v>
      </c>
    </row>
    <row r="34" spans="1:13" x14ac:dyDescent="0.25">
      <c r="A34" s="22">
        <v>30</v>
      </c>
      <c r="B34" s="19" t="s">
        <v>35</v>
      </c>
      <c r="C34" s="19" t="s">
        <v>36</v>
      </c>
      <c r="D34" s="21">
        <v>51500</v>
      </c>
      <c r="E34" s="21">
        <v>65000</v>
      </c>
      <c r="F34" s="12">
        <f>Table2423256[STOK]-Table2423256[TERJUAL]</f>
        <v>0</v>
      </c>
      <c r="G34" s="8"/>
      <c r="H34" s="12">
        <f>(Table24232567[STOK])-(Table24232567[TERJUAL])</f>
        <v>0</v>
      </c>
      <c r="I34" s="5">
        <f>(Table24232567[HARGA JUAL]*Table24232567[TERJUAL])-(Table24232567[HARGA POKOK]*Table24232567[TERJUAL])</f>
        <v>0</v>
      </c>
      <c r="J34" s="5">
        <f>(Table24232567[HARGA JUAL]*Table24232567[TERJUAL])</f>
        <v>0</v>
      </c>
      <c r="K34" s="5">
        <f>Table24232567[HARGA JUAL]*Table24232567[SISA]</f>
        <v>0</v>
      </c>
      <c r="L34" s="25">
        <f>Table24232567[HARGA POKOK]*Table24232567[STOK]</f>
        <v>0</v>
      </c>
      <c r="M34" s="25">
        <f>Table24232567[HARGA JUAL]*Table24232567[STOK]</f>
        <v>0</v>
      </c>
    </row>
    <row r="35" spans="1:13" x14ac:dyDescent="0.25">
      <c r="A35" s="18">
        <v>31</v>
      </c>
      <c r="B35" s="19" t="s">
        <v>31</v>
      </c>
      <c r="C35" s="19" t="s">
        <v>154</v>
      </c>
      <c r="D35" s="21">
        <v>50000</v>
      </c>
      <c r="E35" s="21">
        <v>70000</v>
      </c>
      <c r="F35" s="12">
        <v>1</v>
      </c>
      <c r="G35" s="8">
        <v>1</v>
      </c>
      <c r="H35" s="12">
        <f>(Table24232567[STOK])-(Table24232567[TERJUAL])</f>
        <v>0</v>
      </c>
      <c r="I35" s="5">
        <f>(Table24232567[HARGA JUAL]*Table24232567[TERJUAL])-(Table24232567[HARGA POKOK]*Table24232567[TERJUAL])</f>
        <v>20000</v>
      </c>
      <c r="J35" s="5">
        <f>(Table24232567[HARGA JUAL]*Table24232567[TERJUAL])</f>
        <v>70000</v>
      </c>
      <c r="K35" s="5">
        <f>Table24232567[HARGA JUAL]*Table24232567[SISA]</f>
        <v>0</v>
      </c>
      <c r="L35" s="25">
        <f>Table24232567[HARGA POKOK]*Table24232567[STOK]</f>
        <v>50000</v>
      </c>
      <c r="M35" s="25">
        <f>Table24232567[HARGA JUAL]*Table24232567[STOK]</f>
        <v>70000</v>
      </c>
    </row>
    <row r="36" spans="1:13" x14ac:dyDescent="0.25">
      <c r="A36" s="22">
        <v>32</v>
      </c>
      <c r="B36" s="19" t="s">
        <v>31</v>
      </c>
      <c r="C36" s="19" t="s">
        <v>137</v>
      </c>
      <c r="D36" s="21">
        <v>190000</v>
      </c>
      <c r="E36" s="21">
        <v>200000</v>
      </c>
      <c r="F36" s="12">
        <f>Table2423256[STOK]-Table2423256[TERJUAL]</f>
        <v>16</v>
      </c>
      <c r="G36" s="8">
        <v>11</v>
      </c>
      <c r="H36" s="12">
        <f>(Table24232567[STOK])-(Table24232567[TERJUAL])</f>
        <v>5</v>
      </c>
      <c r="I36" s="5">
        <f>(Table24232567[HARGA JUAL]*Table24232567[TERJUAL])-(Table24232567[HARGA POKOK]*Table24232567[TERJUAL])</f>
        <v>110000</v>
      </c>
      <c r="J36" s="5">
        <f>(Table24232567[HARGA JUAL]*Table24232567[TERJUAL])</f>
        <v>2200000</v>
      </c>
      <c r="K36" s="5">
        <f>Table24232567[HARGA JUAL]*Table24232567[SISA]</f>
        <v>1000000</v>
      </c>
      <c r="L36" s="25">
        <f>Table24232567[HARGA POKOK]*Table24232567[STOK]</f>
        <v>3040000</v>
      </c>
      <c r="M36" s="25">
        <f>Table24232567[HARGA JUAL]*Table24232567[STOK]</f>
        <v>3200000</v>
      </c>
    </row>
    <row r="37" spans="1:13" x14ac:dyDescent="0.25">
      <c r="A37" s="18">
        <v>33</v>
      </c>
      <c r="B37" s="19" t="s">
        <v>31</v>
      </c>
      <c r="C37" s="19" t="s">
        <v>149</v>
      </c>
      <c r="D37" s="21">
        <v>20000</v>
      </c>
      <c r="E37" s="21">
        <v>30000</v>
      </c>
      <c r="F37" s="12">
        <f>Table2423256[STOK]-Table2423256[TERJUAL]</f>
        <v>0</v>
      </c>
      <c r="G37" s="8"/>
      <c r="H37" s="12">
        <f>(Table24232567[STOK])-(Table24232567[TERJUAL])</f>
        <v>0</v>
      </c>
      <c r="I37" s="5">
        <f>(Table24232567[HARGA JUAL]*Table24232567[TERJUAL])-(Table24232567[HARGA POKOK]*Table24232567[TERJUAL])</f>
        <v>0</v>
      </c>
      <c r="J37" s="5">
        <f>(Table24232567[HARGA JUAL]*Table24232567[TERJUAL])</f>
        <v>0</v>
      </c>
      <c r="K37" s="5">
        <f>Table24232567[HARGA JUAL]*Table24232567[SISA]</f>
        <v>0</v>
      </c>
      <c r="L37" s="25">
        <f>Table24232567[HARGA POKOK]*Table24232567[STOK]</f>
        <v>0</v>
      </c>
      <c r="M37" s="25">
        <f>Table24232567[HARGA JUAL]*Table24232567[STOK]</f>
        <v>0</v>
      </c>
    </row>
    <row r="38" spans="1:13" x14ac:dyDescent="0.25">
      <c r="A38" s="22">
        <v>34</v>
      </c>
      <c r="B38" s="19" t="s">
        <v>31</v>
      </c>
      <c r="C38" s="19" t="s">
        <v>141</v>
      </c>
      <c r="D38" s="21">
        <v>18000</v>
      </c>
      <c r="E38" s="21">
        <v>30000</v>
      </c>
      <c r="F38" s="12">
        <f>Table2423256[STOK]-Table2423256[TERJUAL]</f>
        <v>9</v>
      </c>
      <c r="G38" s="8">
        <v>4</v>
      </c>
      <c r="H38" s="12">
        <f>(Table24232567[STOK])-(Table24232567[TERJUAL])</f>
        <v>5</v>
      </c>
      <c r="I38" s="5">
        <f>(Table24232567[HARGA JUAL]*Table24232567[TERJUAL])-(Table24232567[HARGA POKOK]*Table24232567[TERJUAL])</f>
        <v>48000</v>
      </c>
      <c r="J38" s="5">
        <f>(Table24232567[HARGA JUAL]*Table24232567[TERJUAL])</f>
        <v>120000</v>
      </c>
      <c r="K38" s="5">
        <f>Table24232567[HARGA JUAL]*Table24232567[SISA]</f>
        <v>150000</v>
      </c>
      <c r="L38" s="25">
        <f>Table24232567[HARGA POKOK]*Table24232567[STOK]</f>
        <v>162000</v>
      </c>
      <c r="M38" s="25">
        <f>Table24232567[HARGA JUAL]*Table24232567[STOK]</f>
        <v>270000</v>
      </c>
    </row>
    <row r="39" spans="1:13" x14ac:dyDescent="0.25">
      <c r="A39" s="18">
        <v>35</v>
      </c>
      <c r="B39" s="19" t="s">
        <v>31</v>
      </c>
      <c r="C39" s="19" t="s">
        <v>17</v>
      </c>
      <c r="D39" s="21">
        <v>30000</v>
      </c>
      <c r="E39" s="21">
        <v>40000</v>
      </c>
      <c r="F39" s="12">
        <f>Table2423256[STOK]-Table2423256[TERJUAL]</f>
        <v>0</v>
      </c>
      <c r="G39" s="8"/>
      <c r="H39" s="12">
        <f>(Table24232567[STOK])-(Table24232567[TERJUAL])</f>
        <v>0</v>
      </c>
      <c r="I39" s="5">
        <f>(Table24232567[HARGA JUAL]*Table24232567[TERJUAL])-(Table24232567[HARGA POKOK]*Table24232567[TERJUAL])</f>
        <v>0</v>
      </c>
      <c r="J39" s="5">
        <f>(Table24232567[HARGA JUAL]*Table24232567[TERJUAL])</f>
        <v>0</v>
      </c>
      <c r="K39" s="5">
        <f>Table24232567[HARGA JUAL]*Table24232567[SISA]</f>
        <v>0</v>
      </c>
      <c r="L39" s="25">
        <f>Table24232567[HARGA POKOK]*Table24232567[STOK]</f>
        <v>0</v>
      </c>
      <c r="M39" s="25">
        <f>Table24232567[HARGA JUAL]*Table24232567[STOK]</f>
        <v>0</v>
      </c>
    </row>
    <row r="40" spans="1:13" x14ac:dyDescent="0.25">
      <c r="A40" s="22">
        <v>36</v>
      </c>
      <c r="B40" s="19" t="s">
        <v>31</v>
      </c>
      <c r="C40" s="19" t="s">
        <v>64</v>
      </c>
      <c r="D40" s="21">
        <v>24000</v>
      </c>
      <c r="E40" s="21">
        <v>40000</v>
      </c>
      <c r="F40" s="12">
        <f>Table2423256[STOK]-Table2423256[TERJUAL]</f>
        <v>8</v>
      </c>
      <c r="G40" s="8">
        <v>3</v>
      </c>
      <c r="H40" s="12">
        <f>(Table24232567[STOK])-(Table24232567[TERJUAL])</f>
        <v>5</v>
      </c>
      <c r="I40" s="5">
        <f>(Table24232567[HARGA JUAL]*Table24232567[TERJUAL])-(Table24232567[HARGA POKOK]*Table24232567[TERJUAL])</f>
        <v>48000</v>
      </c>
      <c r="J40" s="5">
        <f>(Table24232567[HARGA JUAL]*Table24232567[TERJUAL])</f>
        <v>120000</v>
      </c>
      <c r="K40" s="5">
        <f>Table24232567[HARGA JUAL]*Table24232567[SISA]</f>
        <v>200000</v>
      </c>
      <c r="L40" s="25">
        <f>Table24232567[HARGA POKOK]*Table24232567[STOK]</f>
        <v>192000</v>
      </c>
      <c r="M40" s="25">
        <f>Table24232567[HARGA JUAL]*Table24232567[STOK]</f>
        <v>320000</v>
      </c>
    </row>
    <row r="41" spans="1:13" x14ac:dyDescent="0.25">
      <c r="A41" s="18">
        <v>37</v>
      </c>
      <c r="B41" s="19" t="s">
        <v>31</v>
      </c>
      <c r="C41" s="19" t="s">
        <v>138</v>
      </c>
      <c r="D41" s="21">
        <v>34000</v>
      </c>
      <c r="E41" s="21">
        <v>40000</v>
      </c>
      <c r="F41" s="12">
        <f>Table2423256[STOK]-Table2423256[TERJUAL]</f>
        <v>0</v>
      </c>
      <c r="G41" s="8">
        <v>2</v>
      </c>
      <c r="H41" s="12">
        <f>(Table24232567[STOK])-(Table24232567[TERJUAL])</f>
        <v>-2</v>
      </c>
      <c r="I41" s="5">
        <f>(Table24232567[HARGA JUAL]*Table24232567[TERJUAL])-(Table24232567[HARGA POKOK]*Table24232567[TERJUAL])</f>
        <v>12000</v>
      </c>
      <c r="J41" s="5">
        <f>(Table24232567[HARGA JUAL]*Table24232567[TERJUAL])</f>
        <v>80000</v>
      </c>
      <c r="K41" s="5">
        <f>Table24232567[HARGA JUAL]*Table24232567[SISA]</f>
        <v>-80000</v>
      </c>
      <c r="L41" s="25">
        <f>Table24232567[HARGA POKOK]*Table24232567[STOK]</f>
        <v>0</v>
      </c>
      <c r="M41" s="25">
        <f>Table24232567[HARGA JUAL]*Table24232567[STOK]</f>
        <v>0</v>
      </c>
    </row>
    <row r="42" spans="1:13" x14ac:dyDescent="0.25">
      <c r="A42" s="22">
        <v>38</v>
      </c>
      <c r="B42" s="19" t="s">
        <v>31</v>
      </c>
      <c r="C42" s="95" t="s">
        <v>66</v>
      </c>
      <c r="D42" s="24">
        <v>30000</v>
      </c>
      <c r="E42" s="24">
        <v>40000</v>
      </c>
      <c r="F42" s="13">
        <v>5</v>
      </c>
      <c r="G42" s="9"/>
      <c r="H42" s="12">
        <f>(Table24232567[STOK])-(Table24232567[TERJUAL])</f>
        <v>5</v>
      </c>
      <c r="I42" s="5">
        <f>(Table24232567[HARGA JUAL]*Table24232567[TERJUAL])-(Table24232567[HARGA POKOK]*Table24232567[TERJUAL])</f>
        <v>0</v>
      </c>
      <c r="J42" s="4">
        <f>(Table24232567[HARGA JUAL]*Table24232567[TERJUAL])</f>
        <v>0</v>
      </c>
      <c r="K42" s="4">
        <f>Table24232567[HARGA JUAL]*Table24232567[SISA]</f>
        <v>200000</v>
      </c>
      <c r="L42" s="25">
        <f>Table24232567[HARGA POKOK]*Table24232567[STOK]</f>
        <v>150000</v>
      </c>
      <c r="M42" s="25">
        <f>Table24232567[HARGA JUAL]*Table24232567[STOK]</f>
        <v>200000</v>
      </c>
    </row>
    <row r="43" spans="1:13" x14ac:dyDescent="0.25">
      <c r="A43" s="18">
        <v>39</v>
      </c>
      <c r="B43" s="19" t="s">
        <v>31</v>
      </c>
      <c r="C43" s="95" t="s">
        <v>134</v>
      </c>
      <c r="D43" s="24">
        <v>18000</v>
      </c>
      <c r="E43" s="24">
        <v>30000</v>
      </c>
      <c r="F43" s="13">
        <f>Table2423256[STOK]-Table2423256[TERJUAL]</f>
        <v>13</v>
      </c>
      <c r="G43" s="9">
        <v>2</v>
      </c>
      <c r="H43" s="12">
        <f>(Table24232567[STOK])-(Table24232567[TERJUAL])</f>
        <v>11</v>
      </c>
      <c r="I43" s="5">
        <f>(Table24232567[HARGA JUAL]*Table24232567[TERJUAL])-(Table24232567[HARGA POKOK]*Table24232567[TERJUAL])</f>
        <v>24000</v>
      </c>
      <c r="J43" s="4">
        <f>(Table24232567[HARGA JUAL]*Table24232567[TERJUAL])</f>
        <v>60000</v>
      </c>
      <c r="K43" s="4">
        <f>Table24232567[HARGA JUAL]*Table24232567[SISA]</f>
        <v>330000</v>
      </c>
      <c r="L43" s="25">
        <f>Table24232567[HARGA POKOK]*Table24232567[STOK]</f>
        <v>234000</v>
      </c>
      <c r="M43" s="25">
        <f>Table24232567[HARGA JUAL]*Table24232567[STOK]</f>
        <v>390000</v>
      </c>
    </row>
    <row r="44" spans="1:13" x14ac:dyDescent="0.25">
      <c r="A44" s="22">
        <v>40</v>
      </c>
      <c r="B44" s="19" t="s">
        <v>31</v>
      </c>
      <c r="C44" s="19" t="s">
        <v>67</v>
      </c>
      <c r="D44" s="21">
        <v>27500</v>
      </c>
      <c r="E44" s="21">
        <v>40000</v>
      </c>
      <c r="F44" s="12">
        <f>Table2423256[STOK]-Table2423256[TERJUAL]</f>
        <v>59</v>
      </c>
      <c r="G44" s="8">
        <v>7</v>
      </c>
      <c r="H44" s="12">
        <f>(Table24232567[STOK])-(Table24232567[TERJUAL])</f>
        <v>52</v>
      </c>
      <c r="I44" s="5">
        <f>(Table24232567[HARGA JUAL]*Table24232567[TERJUAL])-(Table24232567[HARGA POKOK]*Table24232567[TERJUAL])</f>
        <v>87500</v>
      </c>
      <c r="J44" s="5">
        <f>(Table24232567[HARGA JUAL]*Table24232567[TERJUAL])</f>
        <v>280000</v>
      </c>
      <c r="K44" s="5">
        <f>Table24232567[HARGA JUAL]*Table24232567[SISA]</f>
        <v>2080000</v>
      </c>
      <c r="L44" s="25">
        <f>Table24232567[HARGA POKOK]*Table24232567[STOK]</f>
        <v>1622500</v>
      </c>
      <c r="M44" s="25">
        <f>Table24232567[HARGA JUAL]*Table24232567[STOK]</f>
        <v>2360000</v>
      </c>
    </row>
    <row r="45" spans="1:13" x14ac:dyDescent="0.25">
      <c r="A45" s="18">
        <v>41</v>
      </c>
      <c r="B45" s="19" t="s">
        <v>31</v>
      </c>
      <c r="C45" s="19" t="s">
        <v>139</v>
      </c>
      <c r="D45" s="21">
        <v>16000</v>
      </c>
      <c r="E45" s="21">
        <v>25000</v>
      </c>
      <c r="F45" s="12">
        <f>Table2423256[STOK]-Table2423256[TERJUAL]</f>
        <v>9</v>
      </c>
      <c r="G45" s="8"/>
      <c r="H45" s="12">
        <f>(Table24232567[STOK])-(Table24232567[TERJUAL])</f>
        <v>9</v>
      </c>
      <c r="I45" s="5">
        <f>(Table24232567[HARGA JUAL]*Table24232567[TERJUAL])-(Table24232567[HARGA POKOK]*Table24232567[TERJUAL])</f>
        <v>0</v>
      </c>
      <c r="J45" s="5">
        <f>(Table24232567[HARGA JUAL]*Table24232567[TERJUAL])</f>
        <v>0</v>
      </c>
      <c r="K45" s="5">
        <f>Table24232567[HARGA JUAL]*Table24232567[SISA]</f>
        <v>225000</v>
      </c>
      <c r="L45" s="25">
        <f>Table24232567[HARGA POKOK]*Table24232567[STOK]</f>
        <v>144000</v>
      </c>
      <c r="M45" s="25">
        <f>Table24232567[HARGA JUAL]*Table24232567[STOK]</f>
        <v>225000</v>
      </c>
    </row>
    <row r="46" spans="1:13" x14ac:dyDescent="0.25">
      <c r="A46" s="22">
        <v>42</v>
      </c>
      <c r="B46" s="19" t="s">
        <v>31</v>
      </c>
      <c r="C46" s="19" t="s">
        <v>140</v>
      </c>
      <c r="D46" s="21">
        <v>15000</v>
      </c>
      <c r="E46" s="21">
        <v>30000</v>
      </c>
      <c r="F46" s="12">
        <f>Table2423256[STOK]-Table2423256[TERJUAL]</f>
        <v>7</v>
      </c>
      <c r="G46" s="8">
        <v>1</v>
      </c>
      <c r="H46" s="12">
        <f>(Table24232567[STOK])-(Table24232567[TERJUAL])</f>
        <v>6</v>
      </c>
      <c r="I46" s="5">
        <f>(Table24232567[HARGA JUAL]*Table24232567[TERJUAL])-(Table24232567[HARGA POKOK]*Table24232567[TERJUAL])</f>
        <v>15000</v>
      </c>
      <c r="J46" s="5">
        <f>(Table24232567[HARGA JUAL]*Table24232567[TERJUAL])</f>
        <v>30000</v>
      </c>
      <c r="K46" s="5">
        <f>Table24232567[HARGA JUAL]*Table24232567[SISA]</f>
        <v>180000</v>
      </c>
      <c r="L46" s="25">
        <f>Table24232567[HARGA POKOK]*Table24232567[STOK]</f>
        <v>105000</v>
      </c>
      <c r="M46" s="25">
        <f>Table24232567[HARGA JUAL]*Table24232567[STOK]</f>
        <v>210000</v>
      </c>
    </row>
    <row r="47" spans="1:13" x14ac:dyDescent="0.25">
      <c r="A47" s="18">
        <v>43</v>
      </c>
      <c r="B47" s="19" t="s">
        <v>32</v>
      </c>
      <c r="C47" s="19" t="s">
        <v>18</v>
      </c>
      <c r="D47" s="21">
        <v>1700</v>
      </c>
      <c r="E47" s="21">
        <v>5000</v>
      </c>
      <c r="F47" s="12">
        <f>Table2423256[STOK]-Table2423256[TERJUAL]</f>
        <v>142</v>
      </c>
      <c r="G47" s="8">
        <v>42</v>
      </c>
      <c r="H47" s="12">
        <f>(Table24232567[STOK])-(Table24232567[TERJUAL])</f>
        <v>100</v>
      </c>
      <c r="I47" s="5">
        <f>(Table24232567[HARGA JUAL]*Table24232567[TERJUAL])-(Table24232567[HARGA POKOK]*Table24232567[TERJUAL])</f>
        <v>138600</v>
      </c>
      <c r="J47" s="5">
        <f>(Table24232567[HARGA JUAL]*Table24232567[TERJUAL])</f>
        <v>210000</v>
      </c>
      <c r="K47" s="5">
        <f>Table24232567[HARGA JUAL]*Table24232567[SISA]</f>
        <v>500000</v>
      </c>
      <c r="L47" s="25">
        <f>Table24232567[HARGA POKOK]*Table24232567[STOK]</f>
        <v>241400</v>
      </c>
      <c r="M47" s="25">
        <f>Table24232567[HARGA JUAL]*Table24232567[STOK]</f>
        <v>710000</v>
      </c>
    </row>
    <row r="48" spans="1:13" x14ac:dyDescent="0.25">
      <c r="A48" s="22">
        <v>44</v>
      </c>
      <c r="B48" s="19" t="s">
        <v>32</v>
      </c>
      <c r="C48" s="19" t="s">
        <v>21</v>
      </c>
      <c r="D48" s="21">
        <v>30500</v>
      </c>
      <c r="E48" s="21">
        <v>45000</v>
      </c>
      <c r="F48" s="12">
        <f>Table2423256[STOK]-Table2423256[TERJUAL]</f>
        <v>0</v>
      </c>
      <c r="G48" s="8"/>
      <c r="H48" s="12">
        <f>(Table24232567[STOK])-(Table24232567[TERJUAL])</f>
        <v>0</v>
      </c>
      <c r="I48" s="5">
        <f>(Table24232567[HARGA JUAL]*Table24232567[TERJUAL])-(Table24232567[HARGA POKOK]*Table24232567[TERJUAL])</f>
        <v>0</v>
      </c>
      <c r="J48" s="5">
        <f>(Table24232567[HARGA JUAL]*Table24232567[TERJUAL])</f>
        <v>0</v>
      </c>
      <c r="K48" s="5">
        <f>Table24232567[HARGA JUAL]*Table24232567[SISA]</f>
        <v>0</v>
      </c>
      <c r="L48" s="25">
        <f>Table24232567[HARGA POKOK]*Table24232567[STOK]</f>
        <v>0</v>
      </c>
      <c r="M48" s="25">
        <f>Table24232567[HARGA JUAL]*Table24232567[STOK]</f>
        <v>0</v>
      </c>
    </row>
    <row r="49" spans="1:14" x14ac:dyDescent="0.25">
      <c r="A49" s="18">
        <v>45</v>
      </c>
      <c r="B49" s="19" t="s">
        <v>32</v>
      </c>
      <c r="C49" s="19" t="s">
        <v>20</v>
      </c>
      <c r="D49" s="21">
        <v>1500</v>
      </c>
      <c r="E49" s="21">
        <v>5000</v>
      </c>
      <c r="F49" s="12">
        <f>Table2423256[STOK]-Table2423256[TERJUAL]</f>
        <v>2</v>
      </c>
      <c r="G49" s="8"/>
      <c r="H49" s="12">
        <f>(Table24232567[STOK])-(Table24232567[TERJUAL])</f>
        <v>2</v>
      </c>
      <c r="I49" s="5">
        <f>(Table24232567[HARGA JUAL]*Table24232567[TERJUAL])-(Table24232567[HARGA POKOK]*Table24232567[TERJUAL])</f>
        <v>0</v>
      </c>
      <c r="J49" s="5">
        <f>(Table24232567[HARGA JUAL]*Table24232567[TERJUAL])</f>
        <v>0</v>
      </c>
      <c r="K49" s="5">
        <f>Table24232567[HARGA JUAL]*Table24232567[SISA]</f>
        <v>10000</v>
      </c>
      <c r="L49" s="25">
        <f>Table24232567[HARGA POKOK]*Table24232567[STOK]</f>
        <v>3000</v>
      </c>
      <c r="M49" s="25">
        <f>Table24232567[HARGA JUAL]*Table24232567[STOK]</f>
        <v>10000</v>
      </c>
    </row>
    <row r="50" spans="1:14" x14ac:dyDescent="0.25">
      <c r="A50" s="22">
        <v>46</v>
      </c>
      <c r="B50" s="19" t="s">
        <v>32</v>
      </c>
      <c r="C50" s="19" t="s">
        <v>23</v>
      </c>
      <c r="D50" s="21">
        <v>30000</v>
      </c>
      <c r="E50" s="21">
        <v>40000</v>
      </c>
      <c r="F50" s="12">
        <f>Table2423256[STOK]-Table2423256[TERJUAL]</f>
        <v>16</v>
      </c>
      <c r="G50" s="8"/>
      <c r="H50" s="12">
        <f>(Table24232567[STOK])-(Table24232567[TERJUAL])</f>
        <v>16</v>
      </c>
      <c r="I50" s="5">
        <f>(Table24232567[HARGA JUAL]*Table24232567[TERJUAL])-(Table24232567[HARGA POKOK]*Table24232567[TERJUAL])</f>
        <v>0</v>
      </c>
      <c r="J50" s="5">
        <f>(Table24232567[HARGA JUAL]*Table24232567[TERJUAL])</f>
        <v>0</v>
      </c>
      <c r="K50" s="5">
        <f>Table24232567[HARGA JUAL]*Table24232567[SISA]</f>
        <v>640000</v>
      </c>
      <c r="L50" s="25">
        <f>Table24232567[HARGA POKOK]*Table24232567[STOK]</f>
        <v>480000</v>
      </c>
      <c r="M50" s="25">
        <f>Table24232567[HARGA JUAL]*Table24232567[STOK]</f>
        <v>640000</v>
      </c>
    </row>
    <row r="51" spans="1:14" x14ac:dyDescent="0.25">
      <c r="A51" s="18">
        <v>47</v>
      </c>
      <c r="B51" s="19" t="s">
        <v>32</v>
      </c>
      <c r="C51" s="19" t="s">
        <v>19</v>
      </c>
      <c r="D51" s="21">
        <v>1600</v>
      </c>
      <c r="E51" s="21">
        <v>5000</v>
      </c>
      <c r="F51" s="12">
        <f>Table2423256[STOK]-Table2423256[TERJUAL]</f>
        <v>83</v>
      </c>
      <c r="G51" s="8">
        <v>10</v>
      </c>
      <c r="H51" s="12">
        <f>(Table24232567[STOK])-(Table24232567[TERJUAL])</f>
        <v>73</v>
      </c>
      <c r="I51" s="5">
        <f>(Table24232567[HARGA JUAL]*Table24232567[TERJUAL])-(Table24232567[HARGA POKOK]*Table24232567[TERJUAL])</f>
        <v>34000</v>
      </c>
      <c r="J51" s="5">
        <f>(Table24232567[HARGA JUAL]*Table24232567[TERJUAL])</f>
        <v>50000</v>
      </c>
      <c r="K51" s="5">
        <f>Table24232567[HARGA JUAL]*Table24232567[SISA]</f>
        <v>365000</v>
      </c>
      <c r="L51" s="25">
        <f>Table24232567[HARGA POKOK]*Table24232567[STOK]</f>
        <v>132800</v>
      </c>
      <c r="M51" s="25">
        <f>Table24232567[HARGA JUAL]*Table24232567[STOK]</f>
        <v>415000</v>
      </c>
    </row>
    <row r="52" spans="1:14" x14ac:dyDescent="0.25">
      <c r="A52" s="22">
        <v>48</v>
      </c>
      <c r="B52" s="19" t="s">
        <v>32</v>
      </c>
      <c r="C52" s="19" t="s">
        <v>22</v>
      </c>
      <c r="D52" s="21">
        <v>27500</v>
      </c>
      <c r="E52" s="21">
        <v>40000</v>
      </c>
      <c r="F52" s="12">
        <f>Table2423256[STOK]-Table2423256[TERJUAL]</f>
        <v>0</v>
      </c>
      <c r="G52" s="8"/>
      <c r="H52" s="12">
        <f>(Table24232567[STOK])-(Table24232567[TERJUAL])</f>
        <v>0</v>
      </c>
      <c r="I52" s="5">
        <f>(Table24232567[HARGA JUAL]*Table24232567[TERJUAL])-(Table24232567[HARGA POKOK]*Table24232567[TERJUAL])</f>
        <v>0</v>
      </c>
      <c r="J52" s="5">
        <f>(Table24232567[HARGA JUAL]*Table24232567[TERJUAL])</f>
        <v>0</v>
      </c>
      <c r="K52" s="5">
        <f>Table24232567[HARGA JUAL]*Table24232567[SISA]</f>
        <v>0</v>
      </c>
      <c r="L52" s="25">
        <f>Table24232567[HARGA POKOK]*Table24232567[STOK]</f>
        <v>0</v>
      </c>
      <c r="M52" s="25">
        <f>Table24232567[HARGA JUAL]*Table24232567[STOK]</f>
        <v>0</v>
      </c>
    </row>
    <row r="53" spans="1:14" x14ac:dyDescent="0.25">
      <c r="A53" s="18">
        <v>49</v>
      </c>
      <c r="B53" s="19" t="s">
        <v>32</v>
      </c>
      <c r="C53" s="19" t="s">
        <v>24</v>
      </c>
      <c r="D53" s="21">
        <v>17500</v>
      </c>
      <c r="E53" s="21">
        <v>40000</v>
      </c>
      <c r="F53" s="12">
        <f>Table2423256[STOK]-Table2423256[TERJUAL]</f>
        <v>15</v>
      </c>
      <c r="G53" s="8">
        <v>2</v>
      </c>
      <c r="H53" s="12">
        <f>(Table24232567[STOK])-(Table24232567[TERJUAL])</f>
        <v>13</v>
      </c>
      <c r="I53" s="5">
        <f>(Table24232567[HARGA JUAL]*Table24232567[TERJUAL])-(Table24232567[HARGA POKOK]*Table24232567[TERJUAL])</f>
        <v>45000</v>
      </c>
      <c r="J53" s="5">
        <f>(Table24232567[HARGA JUAL]*Table24232567[TERJUAL])</f>
        <v>80000</v>
      </c>
      <c r="K53" s="5">
        <f>Table24232567[HARGA JUAL]*Table24232567[SISA]</f>
        <v>520000</v>
      </c>
      <c r="L53" s="25">
        <f>Table24232567[HARGA POKOK]*Table24232567[STOK]</f>
        <v>262500</v>
      </c>
      <c r="M53" s="25">
        <f>Table24232567[HARGA JUAL]*Table24232567[STOK]</f>
        <v>600000</v>
      </c>
    </row>
    <row r="54" spans="1:14" x14ac:dyDescent="0.25">
      <c r="A54" s="22">
        <v>50</v>
      </c>
      <c r="B54" s="19" t="s">
        <v>144</v>
      </c>
      <c r="C54" s="19" t="s">
        <v>145</v>
      </c>
      <c r="D54" s="21">
        <v>3000</v>
      </c>
      <c r="E54" s="21">
        <v>6000</v>
      </c>
      <c r="F54" s="12">
        <f>Table2423256[STOK]-Table2423256[TERJUAL]</f>
        <v>89</v>
      </c>
      <c r="G54" s="8"/>
      <c r="H54" s="12">
        <f>(Table24232567[STOK])-(Table24232567[TERJUAL])</f>
        <v>89</v>
      </c>
      <c r="I54" s="5">
        <f>(Table24232567[HARGA JUAL]*Table24232567[TERJUAL])-(Table24232567[HARGA POKOK]*Table24232567[TERJUAL])</f>
        <v>0</v>
      </c>
      <c r="J54" s="5">
        <f>(Table24232567[HARGA JUAL]*Table24232567[TERJUAL])</f>
        <v>0</v>
      </c>
      <c r="K54" s="5">
        <f>Table24232567[HARGA JUAL]*Table24232567[SISA]</f>
        <v>534000</v>
      </c>
      <c r="L54" s="25">
        <f>Table24232567[HARGA POKOK]*Table24232567[STOK]</f>
        <v>267000</v>
      </c>
      <c r="M54" s="25">
        <f>Table24232567[HARGA JUAL]*Table24232567[STOK]</f>
        <v>534000</v>
      </c>
    </row>
    <row r="55" spans="1:14" x14ac:dyDescent="0.25">
      <c r="A55" s="18">
        <v>51</v>
      </c>
      <c r="B55" s="95" t="s">
        <v>33</v>
      </c>
      <c r="C55" s="95" t="s">
        <v>37</v>
      </c>
      <c r="D55" s="24">
        <v>8700</v>
      </c>
      <c r="E55" s="24">
        <v>15000</v>
      </c>
      <c r="F55" s="13">
        <f>Table2423256[STOK]-Table2423256[TERJUAL]</f>
        <v>52</v>
      </c>
      <c r="G55" s="9">
        <v>12</v>
      </c>
      <c r="H55" s="12">
        <f>(Table24232567[STOK])-(Table24232567[TERJUAL])</f>
        <v>40</v>
      </c>
      <c r="I55" s="5">
        <f>(Table24232567[HARGA JUAL]*Table24232567[TERJUAL])-(Table24232567[HARGA POKOK]*Table24232567[TERJUAL])</f>
        <v>75600</v>
      </c>
      <c r="J55" s="4">
        <f>(Table24232567[HARGA JUAL]*Table24232567[TERJUAL])</f>
        <v>180000</v>
      </c>
      <c r="K55" s="4">
        <f>Table24232567[HARGA JUAL]*Table24232567[SISA]</f>
        <v>600000</v>
      </c>
      <c r="L55" s="25">
        <f>Table24232567[HARGA POKOK]*Table24232567[STOK]</f>
        <v>452400</v>
      </c>
      <c r="M55" s="25">
        <f>Table24232567[HARGA JUAL]*Table24232567[STOK]</f>
        <v>780000</v>
      </c>
    </row>
    <row r="56" spans="1:14" x14ac:dyDescent="0.25">
      <c r="A56" s="22">
        <v>52</v>
      </c>
      <c r="B56" s="95" t="s">
        <v>33</v>
      </c>
      <c r="C56" s="19" t="s">
        <v>25</v>
      </c>
      <c r="D56" s="21">
        <v>8800</v>
      </c>
      <c r="E56" s="21">
        <v>15000</v>
      </c>
      <c r="F56" s="12">
        <f>Table2423256[STOK]-Table2423256[TERJUAL]</f>
        <v>59</v>
      </c>
      <c r="G56" s="8">
        <v>17</v>
      </c>
      <c r="H56" s="12">
        <f>(Table24232567[STOK])-(Table24232567[TERJUAL])</f>
        <v>42</v>
      </c>
      <c r="I56" s="5">
        <f>(Table24232567[HARGA JUAL]*Table24232567[TERJUAL])-(Table24232567[HARGA POKOK]*Table24232567[TERJUAL])</f>
        <v>105400</v>
      </c>
      <c r="J56" s="5">
        <f>(Table24232567[HARGA JUAL]*Table24232567[TERJUAL])</f>
        <v>255000</v>
      </c>
      <c r="K56" s="5">
        <f>Table24232567[HARGA JUAL]*Table24232567[SISA]</f>
        <v>630000</v>
      </c>
      <c r="L56" s="25">
        <f>Table24232567[HARGA POKOK]*Table24232567[STOK]</f>
        <v>519200</v>
      </c>
      <c r="M56" s="25">
        <f>Table24232567[HARGA JUAL]*Table24232567[STOK]</f>
        <v>885000</v>
      </c>
    </row>
    <row r="57" spans="1:14" x14ac:dyDescent="0.25">
      <c r="A57" s="18">
        <v>53</v>
      </c>
      <c r="B57" s="95" t="s">
        <v>33</v>
      </c>
      <c r="C57" s="19" t="s">
        <v>26</v>
      </c>
      <c r="D57" s="21">
        <v>315000</v>
      </c>
      <c r="E57" s="21">
        <v>475000</v>
      </c>
      <c r="F57" s="12">
        <v>43</v>
      </c>
      <c r="G57" s="8">
        <v>26</v>
      </c>
      <c r="H57" s="12">
        <f>(Table24232567[STOK])-(Table24232567[TERJUAL])</f>
        <v>17</v>
      </c>
      <c r="I57" s="5">
        <f>(Table24232567[HARGA JUAL]*Table24232567[TERJUAL])-(Table24232567[HARGA POKOK]*Table24232567[TERJUAL])</f>
        <v>4160000</v>
      </c>
      <c r="J57" s="5">
        <f>(Table24232567[HARGA JUAL]*Table24232567[TERJUAL])</f>
        <v>12350000</v>
      </c>
      <c r="K57" s="5">
        <f>Table24232567[HARGA JUAL]*Table24232567[SISA]</f>
        <v>8075000</v>
      </c>
      <c r="L57" s="25">
        <f>Table24232567[HARGA POKOK]*Table24232567[STOK]</f>
        <v>13545000</v>
      </c>
      <c r="M57" s="25">
        <f>Table24232567[HARGA JUAL]*Table24232567[STOK]</f>
        <v>20425000</v>
      </c>
    </row>
    <row r="58" spans="1:14" x14ac:dyDescent="0.25">
      <c r="A58" s="22">
        <v>54</v>
      </c>
      <c r="B58" s="95" t="s">
        <v>34</v>
      </c>
      <c r="C58" s="95" t="s">
        <v>142</v>
      </c>
      <c r="D58" s="24">
        <v>310000</v>
      </c>
      <c r="E58" s="24">
        <v>435000</v>
      </c>
      <c r="F58" s="13">
        <f>Table2423256[STOK]-Table2423256[TERJUAL]</f>
        <v>5</v>
      </c>
      <c r="G58" s="9"/>
      <c r="H58" s="12">
        <f>(Table24232567[STOK])-(Table24232567[TERJUAL])</f>
        <v>5</v>
      </c>
      <c r="I58" s="5">
        <f>(Table24232567[HARGA JUAL]*Table24232567[TERJUAL])-(Table24232567[HARGA POKOK]*Table24232567[TERJUAL])</f>
        <v>0</v>
      </c>
      <c r="J58" s="4">
        <f>(Table24232567[HARGA JUAL]*Table24232567[TERJUAL])</f>
        <v>0</v>
      </c>
      <c r="K58" s="4">
        <f>Table24232567[HARGA JUAL]*Table24232567[SISA]</f>
        <v>2175000</v>
      </c>
      <c r="L58" s="25">
        <f>Table24232567[HARGA POKOK]*Table24232567[STOK]</f>
        <v>1550000</v>
      </c>
      <c r="M58" s="25">
        <f>Table24232567[HARGA JUAL]*Table24232567[STOK]</f>
        <v>2175000</v>
      </c>
    </row>
    <row r="59" spans="1:14" x14ac:dyDescent="0.25">
      <c r="A59" s="18">
        <v>55</v>
      </c>
      <c r="B59" s="95" t="s">
        <v>34</v>
      </c>
      <c r="C59" s="95" t="s">
        <v>143</v>
      </c>
      <c r="D59" s="24">
        <v>280000</v>
      </c>
      <c r="E59" s="24">
        <v>475000</v>
      </c>
      <c r="F59" s="13">
        <v>4</v>
      </c>
      <c r="G59" s="9">
        <v>1</v>
      </c>
      <c r="H59" s="12">
        <f>(Table24232567[STOK])-(Table24232567[TERJUAL])</f>
        <v>3</v>
      </c>
      <c r="I59" s="5">
        <f>(Table24232567[HARGA JUAL]*Table24232567[TERJUAL])-(Table24232567[HARGA POKOK]*Table24232567[TERJUAL])</f>
        <v>195000</v>
      </c>
      <c r="J59" s="4">
        <f>(Table24232567[HARGA JUAL]*Table24232567[TERJUAL])</f>
        <v>475000</v>
      </c>
      <c r="K59" s="4">
        <f>Table24232567[HARGA JUAL]*Table24232567[SISA]</f>
        <v>1425000</v>
      </c>
      <c r="L59" s="25">
        <f>Table24232567[HARGA POKOK]*Table24232567[STOK]</f>
        <v>1120000</v>
      </c>
      <c r="M59" s="25">
        <f>Table24232567[HARGA JUAL]*Table24232567[STOK]</f>
        <v>1900000</v>
      </c>
    </row>
    <row r="60" spans="1:14" x14ac:dyDescent="0.25">
      <c r="A60" s="118">
        <v>56</v>
      </c>
      <c r="B60" s="119" t="s">
        <v>40</v>
      </c>
      <c r="C60" s="119" t="s">
        <v>79</v>
      </c>
      <c r="D60" s="120">
        <v>30000</v>
      </c>
      <c r="E60" s="120">
        <v>40000</v>
      </c>
      <c r="F60" s="121">
        <v>0</v>
      </c>
      <c r="G60" s="122"/>
      <c r="H60" s="123">
        <f>(Table24232567[STOK])-(Table24232567[TERJUAL])</f>
        <v>0</v>
      </c>
      <c r="I60" s="124">
        <f>(Table24232567[HARGA JUAL]*Table24232567[TERJUAL])-(Table24232567[HARGA POKOK]*Table24232567[TERJUAL])</f>
        <v>0</v>
      </c>
      <c r="J60" s="125">
        <f>(Table24232567[HARGA JUAL]*Table24232567[TERJUAL])</f>
        <v>0</v>
      </c>
      <c r="K60" s="125"/>
      <c r="L60" s="126"/>
      <c r="M60" s="126"/>
      <c r="N60" s="127"/>
    </row>
    <row r="61" spans="1:14" x14ac:dyDescent="0.25">
      <c r="A61" s="18">
        <v>57</v>
      </c>
      <c r="B61" s="30" t="s">
        <v>71</v>
      </c>
      <c r="C61" s="30" t="s">
        <v>70</v>
      </c>
      <c r="D61" s="31">
        <v>1000</v>
      </c>
      <c r="E61" s="31">
        <v>1700</v>
      </c>
      <c r="F61" s="33"/>
      <c r="G61" s="32"/>
      <c r="H61" s="104">
        <f>(Table24232567[STOK])-(Table24232567[TERJUAL])</f>
        <v>0</v>
      </c>
      <c r="I61" s="34">
        <f>(Table24232567[HARGA JUAL]*Table24232567[TERJUAL])-(Table24232567[HARGA POKOK]*Table24232567[TERJUAL])</f>
        <v>0</v>
      </c>
      <c r="J61" s="35">
        <f>(Table24232567[HARGA JUAL]*Table24232567[TERJUAL])</f>
        <v>0</v>
      </c>
      <c r="K61" s="35"/>
      <c r="L61" s="36"/>
      <c r="M61" s="36"/>
    </row>
    <row r="62" spans="1:14" x14ac:dyDescent="0.25">
      <c r="A62" s="22">
        <v>58</v>
      </c>
      <c r="B62" s="30" t="s">
        <v>68</v>
      </c>
      <c r="C62" s="30" t="s">
        <v>69</v>
      </c>
      <c r="D62" s="38">
        <v>6300</v>
      </c>
      <c r="E62" s="31">
        <v>10000</v>
      </c>
      <c r="F62" s="33"/>
      <c r="G62" s="32">
        <v>674</v>
      </c>
      <c r="H62" s="104">
        <f>(Table24232567[STOK])-(Table24232567[TERJUAL])</f>
        <v>-674</v>
      </c>
      <c r="I62" s="34">
        <f>(Table24232567[HARGA JUAL]*Table24232567[TERJUAL])-(Table24232567[HARGA POKOK]*Table24232567[TERJUAL])</f>
        <v>2493800</v>
      </c>
      <c r="J62" s="35">
        <f>(Table24232567[HARGA JUAL]*Table24232567[TERJUAL])</f>
        <v>6740000</v>
      </c>
      <c r="K62" s="35"/>
      <c r="L62" s="36"/>
      <c r="M62" s="36"/>
    </row>
    <row r="63" spans="1:14" x14ac:dyDescent="0.25">
      <c r="A63" s="18">
        <v>59</v>
      </c>
      <c r="B63" s="30" t="s">
        <v>146</v>
      </c>
      <c r="C63" s="30" t="s">
        <v>152</v>
      </c>
      <c r="D63" s="38">
        <v>6200</v>
      </c>
      <c r="E63" s="31">
        <v>10000</v>
      </c>
      <c r="F63" s="33"/>
      <c r="G63" s="97" t="s">
        <v>166</v>
      </c>
      <c r="H63" s="104">
        <f>(Table24232567[STOK])-(Table24232567[TERJUAL])</f>
        <v>-11</v>
      </c>
      <c r="I63" s="34">
        <f>(Table24232567[HARGA JUAL]*Table24232567[TERJUAL])-(Table24232567[HARGA POKOK]*Table24232567[TERJUAL])</f>
        <v>41800</v>
      </c>
      <c r="J63" s="35">
        <f>(Table24232567[HARGA JUAL]*Table24232567[TERJUAL])</f>
        <v>110000</v>
      </c>
      <c r="K63" s="35"/>
      <c r="L63" s="36"/>
      <c r="M63" s="36"/>
    </row>
    <row r="64" spans="1:14" ht="15.75" thickBot="1" x14ac:dyDescent="0.3">
      <c r="A64" s="22">
        <v>60</v>
      </c>
      <c r="B64" s="30" t="s">
        <v>147</v>
      </c>
      <c r="C64" s="30" t="s">
        <v>153</v>
      </c>
      <c r="D64" s="38">
        <v>5600</v>
      </c>
      <c r="E64" s="31">
        <v>10000</v>
      </c>
      <c r="F64" s="33"/>
      <c r="G64" s="97" t="s">
        <v>167</v>
      </c>
      <c r="H64" s="104" t="e">
        <f>(Table24232567[STOK])-(Table24232567[TERJUAL])</f>
        <v>#VALUE!</v>
      </c>
      <c r="I64" s="34" t="e">
        <f>(Table24232567[HARGA JUAL]*Table24232567[TERJUAL])-(Table24232567[HARGA POKOK]*Table24232567[TERJUAL])</f>
        <v>#VALUE!</v>
      </c>
      <c r="J64" s="35" t="e">
        <f>(Table24232567[HARGA JUAL]*Table24232567[TERJUAL])</f>
        <v>#VALUE!</v>
      </c>
      <c r="K64" s="35"/>
      <c r="L64" s="36"/>
      <c r="M64" s="36"/>
    </row>
    <row r="65" spans="1:13" ht="19.5" thickBot="1" x14ac:dyDescent="0.3">
      <c r="A65" s="378" t="s">
        <v>8</v>
      </c>
      <c r="B65" s="379"/>
      <c r="C65" s="379"/>
      <c r="D65" s="379"/>
      <c r="E65" s="380"/>
      <c r="F65" s="39"/>
      <c r="G65" s="39"/>
      <c r="H65" s="40"/>
      <c r="I65" s="41" t="e">
        <f>SUM(I5:I64)</f>
        <v>#VALUE!</v>
      </c>
      <c r="J65" s="26" t="e">
        <f>SUM(J5:J64)</f>
        <v>#VALUE!</v>
      </c>
      <c r="K65" s="41">
        <f>SUBTOTAL(109,Table24232567[TOTAL HARGA SISA BARANG])</f>
        <v>99314000</v>
      </c>
      <c r="L65" s="42">
        <f>SUM(L5:L64)</f>
        <v>88406800</v>
      </c>
      <c r="M65" s="42">
        <f>SUM(M5:M58)</f>
        <v>119724000</v>
      </c>
    </row>
    <row r="66" spans="1:13" x14ac:dyDescent="0.25">
      <c r="B66" s="1"/>
      <c r="C66" s="3"/>
      <c r="G66" s="1"/>
      <c r="H66" s="11"/>
      <c r="I66" s="6"/>
      <c r="J66" s="6"/>
      <c r="K66" s="6"/>
      <c r="L66" s="1"/>
      <c r="M66" s="1"/>
    </row>
    <row r="67" spans="1:13" x14ac:dyDescent="0.25">
      <c r="A67" s="28"/>
      <c r="B67" s="28"/>
      <c r="C67" s="28"/>
      <c r="E67" s="386" t="s">
        <v>151</v>
      </c>
      <c r="F67" s="386"/>
      <c r="G67" s="386"/>
      <c r="H67" s="386"/>
      <c r="I67" s="386"/>
      <c r="J67" s="386"/>
      <c r="K67" s="96"/>
      <c r="L67" s="1"/>
      <c r="M67" s="1"/>
    </row>
    <row r="68" spans="1:13" ht="15.75" x14ac:dyDescent="0.25">
      <c r="A68" s="111" t="s">
        <v>169</v>
      </c>
      <c r="B68" s="111"/>
      <c r="C68" s="111"/>
      <c r="D68" s="388"/>
      <c r="E68" s="388"/>
      <c r="F68" s="388"/>
      <c r="G68" s="387"/>
      <c r="H68" s="387"/>
      <c r="I68" s="28"/>
      <c r="J68" s="28"/>
      <c r="K68" s="28"/>
      <c r="L68" s="7"/>
    </row>
    <row r="69" spans="1:13" ht="15.75" x14ac:dyDescent="0.25">
      <c r="A69" s="111" t="s">
        <v>168</v>
      </c>
      <c r="B69" s="111"/>
      <c r="C69" s="111"/>
      <c r="D69" s="388"/>
      <c r="E69" s="388"/>
      <c r="F69" s="388"/>
      <c r="G69" s="94"/>
      <c r="H69" s="94"/>
      <c r="I69" s="28"/>
      <c r="J69" s="28"/>
      <c r="K69" s="28"/>
      <c r="L69" s="28"/>
    </row>
    <row r="70" spans="1:13" ht="15.75" x14ac:dyDescent="0.25">
      <c r="A70" s="111" t="s">
        <v>171</v>
      </c>
      <c r="B70" s="111"/>
      <c r="C70" s="111"/>
      <c r="E70" s="393"/>
      <c r="F70" s="393"/>
      <c r="G70" s="393"/>
      <c r="H70" s="387"/>
      <c r="I70" s="387"/>
      <c r="J70" s="393"/>
      <c r="K70" s="393"/>
      <c r="L70" s="393"/>
      <c r="M70" s="7"/>
    </row>
    <row r="71" spans="1:13" ht="15.75" x14ac:dyDescent="0.25">
      <c r="A71" s="112" t="s">
        <v>170</v>
      </c>
      <c r="B71" s="111"/>
      <c r="C71" s="111"/>
      <c r="E71" s="394" t="s">
        <v>8</v>
      </c>
      <c r="F71" s="394"/>
      <c r="G71" s="394"/>
      <c r="H71" s="395">
        <v>220000</v>
      </c>
      <c r="I71" s="395"/>
      <c r="J71" s="43" t="s">
        <v>157</v>
      </c>
      <c r="K71" s="7"/>
      <c r="L71" s="27"/>
      <c r="M71" s="1"/>
    </row>
    <row r="72" spans="1:13" x14ac:dyDescent="0.25">
      <c r="A72" s="28"/>
      <c r="B72" s="28"/>
      <c r="C72" s="28"/>
      <c r="E72" s="43"/>
      <c r="F72" s="389"/>
      <c r="G72" s="389"/>
      <c r="H72" s="389"/>
      <c r="I72" s="389"/>
      <c r="J72" s="389"/>
      <c r="K72" s="27"/>
      <c r="L72" s="27"/>
      <c r="M72" s="1"/>
    </row>
    <row r="73" spans="1:13" x14ac:dyDescent="0.25">
      <c r="A73" s="28"/>
      <c r="B73" s="28"/>
      <c r="C73" s="28"/>
      <c r="E73" s="43" t="s">
        <v>82</v>
      </c>
      <c r="F73" s="44"/>
      <c r="G73" s="390" t="e">
        <f>SUBTOTAL(109,Table24232567[TOTAL H. B. LAKU TERJUAL])</f>
        <v>#VALUE!</v>
      </c>
      <c r="H73" s="390"/>
      <c r="I73" s="390"/>
      <c r="J73" s="43"/>
      <c r="K73" s="7"/>
      <c r="L73" s="27"/>
      <c r="M73" s="1"/>
    </row>
    <row r="74" spans="1:13" x14ac:dyDescent="0.25">
      <c r="A74" s="28"/>
      <c r="B74" s="28"/>
      <c r="C74" s="28"/>
      <c r="E74" s="43" t="s">
        <v>83</v>
      </c>
      <c r="F74" s="45" t="s">
        <v>84</v>
      </c>
      <c r="G74" s="391">
        <v>220000</v>
      </c>
      <c r="H74" s="391"/>
      <c r="I74" s="391"/>
      <c r="J74" s="43"/>
      <c r="K74" s="7"/>
      <c r="L74" s="27"/>
      <c r="M74" s="1"/>
    </row>
    <row r="75" spans="1:13" x14ac:dyDescent="0.25">
      <c r="B75" s="1"/>
      <c r="C75" s="3"/>
      <c r="E75" s="43" t="s">
        <v>8</v>
      </c>
      <c r="F75" s="43"/>
      <c r="G75" s="392" t="e">
        <f>(G73-G74)</f>
        <v>#VALUE!</v>
      </c>
      <c r="H75" s="392"/>
      <c r="I75" s="392"/>
      <c r="J75" s="43"/>
      <c r="K75" s="7"/>
      <c r="L75" s="27"/>
      <c r="M75" s="1"/>
    </row>
    <row r="76" spans="1:13" x14ac:dyDescent="0.25">
      <c r="M76" s="1"/>
    </row>
    <row r="77" spans="1:13" ht="18.75" x14ac:dyDescent="0.3">
      <c r="A77" s="360" t="s">
        <v>99</v>
      </c>
      <c r="B77" s="360"/>
      <c r="C77" s="360"/>
      <c r="D77" s="360"/>
    </row>
    <row r="78" spans="1:13" ht="18.75" x14ac:dyDescent="0.3">
      <c r="A78" s="360" t="s">
        <v>165</v>
      </c>
      <c r="B78" s="360"/>
      <c r="C78" s="360"/>
      <c r="D78" s="360"/>
    </row>
    <row r="79" spans="1:13" ht="18.75" x14ac:dyDescent="0.3">
      <c r="A79" s="360" t="s">
        <v>75</v>
      </c>
      <c r="B79" s="360"/>
      <c r="C79" s="360"/>
      <c r="D79" s="360"/>
    </row>
    <row r="81" spans="1:4" ht="15.75" x14ac:dyDescent="0.25">
      <c r="A81" s="356" t="s">
        <v>111</v>
      </c>
      <c r="B81" s="357"/>
      <c r="C81" s="356" t="s">
        <v>77</v>
      </c>
      <c r="D81" s="357"/>
    </row>
    <row r="82" spans="1:4" ht="15.75" x14ac:dyDescent="0.25">
      <c r="A82" s="116" t="s">
        <v>103</v>
      </c>
      <c r="B82" s="117"/>
      <c r="C82" s="46">
        <v>29065000</v>
      </c>
      <c r="D82" s="48"/>
    </row>
    <row r="83" spans="1:4" ht="15.75" x14ac:dyDescent="0.25">
      <c r="A83" s="354" t="s">
        <v>102</v>
      </c>
      <c r="B83" s="355"/>
      <c r="C83" s="46"/>
      <c r="D83" s="46"/>
    </row>
    <row r="84" spans="1:4" ht="15.75" x14ac:dyDescent="0.25">
      <c r="A84" s="356" t="s">
        <v>104</v>
      </c>
      <c r="B84" s="357"/>
      <c r="C84" s="46"/>
      <c r="D84" s="98">
        <v>29065000</v>
      </c>
    </row>
    <row r="85" spans="1:4" ht="15.75" x14ac:dyDescent="0.25">
      <c r="A85" s="350" t="s">
        <v>106</v>
      </c>
      <c r="B85" s="351"/>
      <c r="C85" s="46"/>
      <c r="D85" s="46">
        <v>20087300</v>
      </c>
    </row>
    <row r="86" spans="1:4" ht="15.75" x14ac:dyDescent="0.25">
      <c r="A86" s="358" t="s">
        <v>161</v>
      </c>
      <c r="B86" s="359"/>
      <c r="C86" s="49"/>
      <c r="D86" s="50">
        <f>(D84-D85)</f>
        <v>8977700</v>
      </c>
    </row>
    <row r="87" spans="1:4" ht="15.75" x14ac:dyDescent="0.25">
      <c r="A87" s="358" t="s">
        <v>158</v>
      </c>
      <c r="B87" s="359"/>
      <c r="C87" s="49"/>
      <c r="D87" s="50">
        <v>56000</v>
      </c>
    </row>
    <row r="88" spans="1:4" ht="15.75" x14ac:dyDescent="0.25">
      <c r="A88" s="400" t="s">
        <v>162</v>
      </c>
      <c r="B88" s="401"/>
      <c r="C88" s="49"/>
      <c r="D88" s="50">
        <f>SUM(D86:D87)</f>
        <v>9033700</v>
      </c>
    </row>
    <row r="89" spans="1:4" ht="15.75" x14ac:dyDescent="0.25">
      <c r="A89" s="346" t="s">
        <v>105</v>
      </c>
      <c r="B89" s="347"/>
      <c r="C89" s="46"/>
      <c r="D89" s="54"/>
    </row>
    <row r="90" spans="1:4" ht="15.75" x14ac:dyDescent="0.25">
      <c r="A90" s="348" t="s">
        <v>97</v>
      </c>
      <c r="B90" s="349"/>
      <c r="C90" s="46">
        <v>2000000</v>
      </c>
      <c r="D90" s="46"/>
    </row>
    <row r="91" spans="1:4" ht="15.75" x14ac:dyDescent="0.25">
      <c r="A91" s="350" t="s">
        <v>98</v>
      </c>
      <c r="B91" s="351"/>
      <c r="C91" s="46">
        <v>400000</v>
      </c>
      <c r="D91" s="46"/>
    </row>
    <row r="92" spans="1:4" ht="15.75" x14ac:dyDescent="0.25">
      <c r="A92" s="113" t="s">
        <v>203</v>
      </c>
      <c r="B92" s="113"/>
      <c r="C92" s="114">
        <v>1650000</v>
      </c>
      <c r="D92" s="115"/>
    </row>
    <row r="93" spans="1:4" ht="15.75" x14ac:dyDescent="0.25">
      <c r="A93" s="113" t="s">
        <v>160</v>
      </c>
      <c r="B93" s="113"/>
      <c r="C93" s="114">
        <v>103000</v>
      </c>
      <c r="D93" s="115"/>
    </row>
    <row r="94" spans="1:4" ht="15.75" x14ac:dyDescent="0.25">
      <c r="A94" s="352" t="s">
        <v>107</v>
      </c>
      <c r="B94" s="353"/>
      <c r="C94" s="51" t="s">
        <v>117</v>
      </c>
      <c r="D94" s="47">
        <f>SUM(C90:C93)</f>
        <v>4153000</v>
      </c>
    </row>
    <row r="95" spans="1:4" ht="15.75" x14ac:dyDescent="0.25">
      <c r="A95" s="344" t="s">
        <v>108</v>
      </c>
      <c r="B95" s="345"/>
      <c r="C95" s="51"/>
      <c r="D95" s="51"/>
    </row>
    <row r="96" spans="1:4" ht="15.75" x14ac:dyDescent="0.25">
      <c r="A96" s="346" t="s">
        <v>109</v>
      </c>
      <c r="B96" s="347"/>
      <c r="C96" s="48"/>
      <c r="D96" s="50">
        <f>(D88-D94)</f>
        <v>4880700</v>
      </c>
    </row>
  </sheetData>
  <mergeCells count="32">
    <mergeCell ref="A95:B95"/>
    <mergeCell ref="A96:B96"/>
    <mergeCell ref="A88:B88"/>
    <mergeCell ref="A89:B89"/>
    <mergeCell ref="A90:B90"/>
    <mergeCell ref="A91:B91"/>
    <mergeCell ref="A94:B94"/>
    <mergeCell ref="A83:B83"/>
    <mergeCell ref="A84:B84"/>
    <mergeCell ref="A85:B85"/>
    <mergeCell ref="A86:B86"/>
    <mergeCell ref="A87:B87"/>
    <mergeCell ref="A77:D77"/>
    <mergeCell ref="A78:D78"/>
    <mergeCell ref="A79:D79"/>
    <mergeCell ref="A81:B81"/>
    <mergeCell ref="C81:D81"/>
    <mergeCell ref="J70:L70"/>
    <mergeCell ref="E71:G71"/>
    <mergeCell ref="H71:I71"/>
    <mergeCell ref="F72:J72"/>
    <mergeCell ref="A1:N1"/>
    <mergeCell ref="A2:N2"/>
    <mergeCell ref="A65:E65"/>
    <mergeCell ref="E67:J67"/>
    <mergeCell ref="D68:F69"/>
    <mergeCell ref="G68:H68"/>
    <mergeCell ref="G73:I73"/>
    <mergeCell ref="G74:I74"/>
    <mergeCell ref="G75:I75"/>
    <mergeCell ref="E70:G70"/>
    <mergeCell ref="H70:I70"/>
  </mergeCells>
  <pageMargins left="0.59055118110236227" right="0.19685039370078741" top="0.59055118110236227" bottom="0.59055118110236227" header="0.31496062992125984" footer="0.31496062992125984"/>
  <pageSetup paperSize="9" scale="59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E91" workbookViewId="0">
      <selection activeCell="F30" sqref="F30"/>
    </sheetView>
  </sheetViews>
  <sheetFormatPr defaultRowHeight="15" x14ac:dyDescent="0.25"/>
  <cols>
    <col min="1" max="1" width="9.140625" customWidth="1"/>
    <col min="2" max="2" width="23.42578125" customWidth="1"/>
    <col min="3" max="3" width="28" customWidth="1"/>
    <col min="4" max="4" width="18.5703125" customWidth="1"/>
    <col min="5" max="5" width="15.42578125" customWidth="1"/>
    <col min="6" max="6" width="10.85546875" customWidth="1"/>
    <col min="7" max="7" width="13.7109375" customWidth="1"/>
    <col min="8" max="8" width="8.8554687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172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131" t="s">
        <v>0</v>
      </c>
      <c r="B4" s="132" t="s">
        <v>1</v>
      </c>
      <c r="C4" s="133" t="s">
        <v>2</v>
      </c>
      <c r="D4" s="132" t="s">
        <v>119</v>
      </c>
      <c r="E4" s="132" t="s">
        <v>3</v>
      </c>
      <c r="F4" s="134" t="s">
        <v>4</v>
      </c>
      <c r="G4" s="134" t="s">
        <v>5</v>
      </c>
      <c r="H4" s="135" t="s">
        <v>6</v>
      </c>
      <c r="I4" s="136" t="s">
        <v>7</v>
      </c>
      <c r="J4" s="136" t="s">
        <v>115</v>
      </c>
      <c r="K4" s="136" t="s">
        <v>92</v>
      </c>
      <c r="L4" s="134" t="s">
        <v>116</v>
      </c>
      <c r="M4" s="134" t="s">
        <v>81</v>
      </c>
      <c r="N4" s="134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141">
        <v>192</v>
      </c>
      <c r="G5" s="142">
        <v>62</v>
      </c>
      <c r="H5" s="141">
        <f>(Table242325678[STOK])-(Table242325678[TERJUAL])</f>
        <v>130</v>
      </c>
      <c r="I5" s="143">
        <f>(Table242325678[HARGA JUAL]*Table242325678[TERJUAL])-(Table242325678[HARGA POKOK]*Table242325678[TERJUAL])</f>
        <v>1364000</v>
      </c>
      <c r="J5" s="143">
        <f>(Table242325678[HARGA JUAL]*Table242325678[TERJUAL])</f>
        <v>6014000</v>
      </c>
      <c r="K5" s="143">
        <f>Table242325678[HARGA JUAL]*Table242325678[SISA]</f>
        <v>12610000</v>
      </c>
      <c r="L5" s="144">
        <f>Table242325678[HARGA POKOK]*Table242325678[STOK]</f>
        <v>14400000</v>
      </c>
      <c r="M5" s="144">
        <f>Table242325678[HARGA JUAL]*Table242325678[STOK]</f>
        <v>18624000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141">
        <v>140</v>
      </c>
      <c r="G6" s="142">
        <v>8</v>
      </c>
      <c r="H6" s="141">
        <f>(Table242325678[STOK])-(Table242325678[TERJUAL])</f>
        <v>132</v>
      </c>
      <c r="I6" s="143">
        <f>(Table242325678[HARGA JUAL]*Table242325678[TERJUAL])-(Table242325678[HARGA POKOK]*Table242325678[TERJUAL])</f>
        <v>160000</v>
      </c>
      <c r="J6" s="143">
        <f>(Table242325678[HARGA JUAL]*Table242325678[TERJUAL])</f>
        <v>640000</v>
      </c>
      <c r="K6" s="143">
        <f>Table242325678[HARGA JUAL]*Table242325678[SISA]</f>
        <v>10560000</v>
      </c>
      <c r="L6" s="144">
        <f>Table242325678[HARGA POKOK]*Table242325678[STOK]</f>
        <v>8400000</v>
      </c>
      <c r="M6" s="144">
        <f>Table242325678[HARGA JUAL]*Table242325678[STOK]</f>
        <v>11200000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52500</v>
      </c>
      <c r="E7" s="140">
        <v>70000</v>
      </c>
      <c r="F7" s="141">
        <v>35</v>
      </c>
      <c r="G7" s="142">
        <v>6</v>
      </c>
      <c r="H7" s="141">
        <f>(Table242325678[STOK])-(Table242325678[TERJUAL])</f>
        <v>29</v>
      </c>
      <c r="I7" s="143">
        <f>(Table242325678[HARGA JUAL]*Table242325678[TERJUAL])-(Table242325678[HARGA POKOK]*Table242325678[TERJUAL])</f>
        <v>105000</v>
      </c>
      <c r="J7" s="143">
        <f>(Table242325678[HARGA JUAL]*Table242325678[TERJUAL])</f>
        <v>420000</v>
      </c>
      <c r="K7" s="143">
        <f>Table242325678[HARGA JUAL]*Table242325678[SISA]</f>
        <v>2030000</v>
      </c>
      <c r="L7" s="144">
        <f>Table242325678[HARGA POKOK]*Table242325678[STOK]</f>
        <v>1837500</v>
      </c>
      <c r="M7" s="144">
        <f>Table242325678[HARGA JUAL]*Table242325678[STOK]</f>
        <v>2450000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140</v>
      </c>
      <c r="G8" s="142">
        <v>27</v>
      </c>
      <c r="H8" s="141">
        <f>(Table242325678[STOK])-(Table242325678[TERJUAL])</f>
        <v>113</v>
      </c>
      <c r="I8" s="143">
        <f>(Table242325678[HARGA JUAL]*Table242325678[TERJUAL])-(Table242325678[HARGA POKOK]*Table242325678[TERJUAL])</f>
        <v>445500</v>
      </c>
      <c r="J8" s="143">
        <f>(Table242325678[HARGA JUAL]*Table242325678[TERJUAL])</f>
        <v>2214000</v>
      </c>
      <c r="K8" s="143">
        <f>Table242325678[HARGA JUAL]*Table242325678[SISA]</f>
        <v>9266000</v>
      </c>
      <c r="L8" s="144">
        <f>Table242325678[HARGA POKOK]*Table242325678[STOK]</f>
        <v>9170000</v>
      </c>
      <c r="M8" s="144">
        <f>Table242325678[HARGA JUAL]*Table242325678[STOK]</f>
        <v>11480000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7</v>
      </c>
      <c r="G9" s="142">
        <v>7</v>
      </c>
      <c r="H9" s="141">
        <f>(Table242325678[STOK])-(Table242325678[TERJUAL])</f>
        <v>0</v>
      </c>
      <c r="I9" s="143">
        <f>(Table242325678[HARGA JUAL]*Table242325678[TERJUAL])-(Table242325678[HARGA POKOK]*Table242325678[TERJUAL])</f>
        <v>150500</v>
      </c>
      <c r="J9" s="143">
        <f>(Table242325678[HARGA JUAL]*Table242325678[TERJUAL])</f>
        <v>560000</v>
      </c>
      <c r="K9" s="143">
        <f>Table242325678[HARGA JUAL]*Table242325678[SISA]</f>
        <v>0</v>
      </c>
      <c r="L9" s="144">
        <f>Table242325678[HARGA POKOK]*Table242325678[STOK]</f>
        <v>409500</v>
      </c>
      <c r="M9" s="144">
        <f>Table242325678[HARGA JUAL]*Table242325678[STOK]</f>
        <v>560000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34</v>
      </c>
      <c r="G10" s="142">
        <v>1</v>
      </c>
      <c r="H10" s="141">
        <f>(Table242325678[STOK])-(Table242325678[TERJUAL])</f>
        <v>33</v>
      </c>
      <c r="I10" s="143">
        <f>(Table242325678[HARGA JUAL]*Table242325678[TERJUAL])-(Table242325678[HARGA POKOK]*Table242325678[TERJUAL])</f>
        <v>26500</v>
      </c>
      <c r="J10" s="143">
        <f>(Table242325678[HARGA JUAL]*Table242325678[TERJUAL])</f>
        <v>110000</v>
      </c>
      <c r="K10" s="143">
        <f>Table242325678[HARGA JUAL]*Table242325678[SISA]</f>
        <v>3630000</v>
      </c>
      <c r="L10" s="144">
        <f>Table242325678[HARGA POKOK]*Table242325678[STOK]</f>
        <v>2839000</v>
      </c>
      <c r="M10" s="144">
        <f>Table242325678[HARGA JUAL]*Table242325678[STOK]</f>
        <v>3740000</v>
      </c>
      <c r="N10" s="145"/>
    </row>
    <row r="11" spans="1:14" x14ac:dyDescent="0.25">
      <c r="A11" s="137">
        <v>7</v>
      </c>
      <c r="B11" s="138" t="s">
        <v>28</v>
      </c>
      <c r="C11" s="138" t="s">
        <v>38</v>
      </c>
      <c r="D11" s="140">
        <v>88500</v>
      </c>
      <c r="E11" s="140">
        <v>115000</v>
      </c>
      <c r="F11" s="141">
        <v>14</v>
      </c>
      <c r="G11" s="142"/>
      <c r="H11" s="141">
        <f>(Table242325678[STOK])-(Table242325678[TERJUAL])</f>
        <v>14</v>
      </c>
      <c r="I11" s="143">
        <f>(Table242325678[HARGA JUAL]*Table242325678[TERJUAL])-(Table242325678[HARGA POKOK]*Table242325678[TERJUAL])</f>
        <v>0</v>
      </c>
      <c r="J11" s="143">
        <f>(Table242325678[HARGA JUAL]*Table242325678[TERJUAL])</f>
        <v>0</v>
      </c>
      <c r="K11" s="143">
        <f>Table242325678[HARGA JUAL]*Table242325678[SISA]</f>
        <v>1610000</v>
      </c>
      <c r="L11" s="144">
        <f>Table242325678[HARGA POKOK]*Table242325678[STOK]</f>
        <v>1239000</v>
      </c>
      <c r="M11" s="144">
        <f>Table242325678[HARGA JUAL]*Table242325678[STOK]</f>
        <v>1610000</v>
      </c>
      <c r="N11" s="145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104</v>
      </c>
      <c r="G12" s="142">
        <v>2</v>
      </c>
      <c r="H12" s="141">
        <f>(Table242325678[STOK])-(Table242325678[TERJUAL])</f>
        <v>102</v>
      </c>
      <c r="I12" s="143">
        <f>(Table242325678[HARGA JUAL]*Table242325678[TERJUAL])-(Table242325678[HARGA POKOK]*Table242325678[TERJUAL])</f>
        <v>12000</v>
      </c>
      <c r="J12" s="143">
        <f>(Table242325678[HARGA JUAL]*Table242325678[TERJUAL])</f>
        <v>180000</v>
      </c>
      <c r="K12" s="143">
        <f>Table242325678[HARGA JUAL]*Table242325678[SISA]</f>
        <v>9180000</v>
      </c>
      <c r="L12" s="144">
        <f>Table242325678[HARGA POKOK]*Table242325678[STOK]</f>
        <v>8736000</v>
      </c>
      <c r="M12" s="144">
        <f>Table242325678[HARGA JUAL]*Table242325678[STOK]</f>
        <v>9360000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36</v>
      </c>
      <c r="G13" s="142">
        <v>3</v>
      </c>
      <c r="H13" s="141">
        <f>(Table242325678[STOK])-(Table242325678[TERJUAL])</f>
        <v>33</v>
      </c>
      <c r="I13" s="143">
        <f>(Table242325678[HARGA JUAL]*Table242325678[TERJUAL])-(Table242325678[HARGA POKOK]*Table242325678[TERJUAL])</f>
        <v>64500</v>
      </c>
      <c r="J13" s="143">
        <f>(Table242325678[HARGA JUAL]*Table242325678[TERJUAL])</f>
        <v>540000</v>
      </c>
      <c r="K13" s="143">
        <f>Table242325678[HARGA JUAL]*Table242325678[SISA]</f>
        <v>5940000</v>
      </c>
      <c r="L13" s="144">
        <f>Table242325678[HARGA POKOK]*Table242325678[STOK]</f>
        <v>5706000</v>
      </c>
      <c r="M13" s="144">
        <f>Table242325678[HARGA JUAL]*Table242325678[STOK]</f>
        <v>6480000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165000</v>
      </c>
      <c r="F14" s="141">
        <v>52</v>
      </c>
      <c r="G14" s="142">
        <v>1</v>
      </c>
      <c r="H14" s="141">
        <f>(Table242325678[STOK])-(Table242325678[TERJUAL])</f>
        <v>51</v>
      </c>
      <c r="I14" s="143">
        <f>(Table242325678[HARGA JUAL]*Table242325678[TERJUAL])-(Table242325678[HARGA POKOK]*Table242325678[TERJUAL])</f>
        <v>32000</v>
      </c>
      <c r="J14" s="143">
        <f>(Table242325678[HARGA JUAL]*Table242325678[TERJUAL])</f>
        <v>165000</v>
      </c>
      <c r="K14" s="143">
        <f>Table242325678[HARGA JUAL]*Table242325678[SISA]</f>
        <v>8415000</v>
      </c>
      <c r="L14" s="144">
        <f>Table242325678[HARGA POKOK]*Table242325678[STOK]</f>
        <v>6916000</v>
      </c>
      <c r="M14" s="144">
        <f>Table242325678[HARGA JUAL]*Table242325678[STOK]</f>
        <v>8580000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64</v>
      </c>
      <c r="G15" s="142">
        <v>7</v>
      </c>
      <c r="H15" s="141">
        <f>(Table242325678[STOK])-(Table242325678[TERJUAL])</f>
        <v>57</v>
      </c>
      <c r="I15" s="143">
        <f>(Table242325678[HARGA JUAL]*Table242325678[TERJUAL])-(Table242325678[HARGA POKOK]*Table242325678[TERJUAL])</f>
        <v>73500</v>
      </c>
      <c r="J15" s="143">
        <f>(Table242325678[HARGA JUAL]*Table242325678[TERJUAL])</f>
        <v>280000</v>
      </c>
      <c r="K15" s="143">
        <f>Table242325678[HARGA JUAL]*Table242325678[SISA]</f>
        <v>2280000</v>
      </c>
      <c r="L15" s="144">
        <f>Table242325678[HARGA POKOK]*Table242325678[STOK]</f>
        <v>1888000</v>
      </c>
      <c r="M15" s="144">
        <f>Table242325678[HARGA JUAL]*Table242325678[STOK]</f>
        <v>2560000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24</v>
      </c>
      <c r="G16" s="142"/>
      <c r="H16" s="141">
        <f>(Table242325678[STOK])-(Table242325678[TERJUAL])</f>
        <v>24</v>
      </c>
      <c r="I16" s="143">
        <f>(Table242325678[HARGA JUAL]*Table242325678[TERJUAL])-(Table242325678[HARGA POKOK]*Table242325678[TERJUAL])</f>
        <v>0</v>
      </c>
      <c r="J16" s="143">
        <f>(Table242325678[HARGA JUAL]*Table242325678[TERJUAL])</f>
        <v>0</v>
      </c>
      <c r="K16" s="143">
        <f>Table242325678[HARGA JUAL]*Table242325678[SISA]</f>
        <v>2400000</v>
      </c>
      <c r="L16" s="144">
        <f>Table242325678[HARGA POKOK]*Table242325678[STOK]</f>
        <v>1740000</v>
      </c>
      <c r="M16" s="144">
        <f>Table242325678[HARGA JUAL]*Table242325678[STOK]</f>
        <v>2400000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65</v>
      </c>
      <c r="G17" s="142">
        <v>2</v>
      </c>
      <c r="H17" s="141">
        <f>(Table242325678[STOK])-(Table242325678[TERJUAL])</f>
        <v>63</v>
      </c>
      <c r="I17" s="143">
        <f>(Table242325678[HARGA JUAL]*Table242325678[TERJUAL])-(Table242325678[HARGA POKOK]*Table242325678[TERJUAL])</f>
        <v>38000</v>
      </c>
      <c r="J17" s="143">
        <f>(Table242325678[HARGA JUAL]*Table242325678[TERJUAL])</f>
        <v>170000</v>
      </c>
      <c r="K17" s="143">
        <f>Table242325678[HARGA JUAL]*Table242325678[SISA]</f>
        <v>5355000</v>
      </c>
      <c r="L17" s="144">
        <f>Table242325678[HARGA POKOK]*Table242325678[STOK]</f>
        <v>4290000</v>
      </c>
      <c r="M17" s="144">
        <f>Table242325678[HARGA JUAL]*Table242325678[STOK]</f>
        <v>5525000</v>
      </c>
      <c r="N17" s="145"/>
    </row>
    <row r="18" spans="1:14" x14ac:dyDescent="0.25">
      <c r="A18" s="137">
        <v>14</v>
      </c>
      <c r="B18" s="138" t="s">
        <v>28</v>
      </c>
      <c r="C18" s="138" t="s">
        <v>48</v>
      </c>
      <c r="D18" s="140">
        <v>22500</v>
      </c>
      <c r="E18" s="140">
        <v>32000</v>
      </c>
      <c r="F18" s="141">
        <v>385</v>
      </c>
      <c r="G18" s="142">
        <v>3</v>
      </c>
      <c r="H18" s="141">
        <f>(Table242325678[STOK])-(Table242325678[TERJUAL])</f>
        <v>382</v>
      </c>
      <c r="I18" s="143">
        <f>(Table242325678[HARGA JUAL]*Table242325678[TERJUAL])-(Table242325678[HARGA POKOK]*Table242325678[TERJUAL])</f>
        <v>28500</v>
      </c>
      <c r="J18" s="143">
        <f>(Table242325678[HARGA JUAL]*Table242325678[TERJUAL])</f>
        <v>96000</v>
      </c>
      <c r="K18" s="143">
        <f>Table242325678[HARGA JUAL]*Table242325678[SISA]</f>
        <v>12224000</v>
      </c>
      <c r="L18" s="144">
        <f>Table242325678[HARGA POKOK]*Table242325678[STOK]</f>
        <v>8662500</v>
      </c>
      <c r="M18" s="144">
        <f>Table242325678[HARGA JUAL]*Table242325678[STOK]</f>
        <v>12320000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69</v>
      </c>
      <c r="G19" s="142">
        <v>5</v>
      </c>
      <c r="H19" s="141">
        <f>(Table242325678[STOK])-(Table242325678[TERJUAL])</f>
        <v>64</v>
      </c>
      <c r="I19" s="143">
        <f>(Table242325678[HARGA JUAL]*Table242325678[TERJUAL])-(Table242325678[HARGA POKOK]*Table242325678[TERJUAL])</f>
        <v>120000</v>
      </c>
      <c r="J19" s="143">
        <f>(Table242325678[HARGA JUAL]*Table242325678[TERJUAL])</f>
        <v>400000</v>
      </c>
      <c r="K19" s="143">
        <f>Table242325678[HARGA JUAL]*Table242325678[SISA]</f>
        <v>5120000</v>
      </c>
      <c r="L19" s="144">
        <f>Table242325678[HARGA POKOK]*Table242325678[STOK]</f>
        <v>3864000</v>
      </c>
      <c r="M19" s="144">
        <f>Table242325678[HARGA JUAL]*Table242325678[STOK]</f>
        <v>5520000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5</v>
      </c>
      <c r="G20" s="142">
        <v>4</v>
      </c>
      <c r="H20" s="141">
        <f>(Table242325678[STOK])-(Table242325678[TERJUAL])</f>
        <v>1</v>
      </c>
      <c r="I20" s="143">
        <f>(Table242325678[HARGA JUAL]*Table242325678[TERJUAL])-(Table242325678[HARGA POKOK]*Table242325678[TERJUAL])</f>
        <v>80000</v>
      </c>
      <c r="J20" s="143">
        <f>(Table242325678[HARGA JUAL]*Table242325678[TERJUAL])</f>
        <v>240000</v>
      </c>
      <c r="K20" s="143">
        <f>Table242325678[HARGA JUAL]*Table242325678[SISA]</f>
        <v>60000</v>
      </c>
      <c r="L20" s="144">
        <f>Table242325678[HARGA POKOK]*Table242325678[STOK]</f>
        <v>200000</v>
      </c>
      <c r="M20" s="144">
        <f>Table242325678[HARGA JUAL]*Table242325678[STOK]</f>
        <v>300000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100</v>
      </c>
      <c r="G21" s="142">
        <v>5</v>
      </c>
      <c r="H21" s="141">
        <f>(Table242325678[STOK])-(Table242325678[TERJUAL])</f>
        <v>95</v>
      </c>
      <c r="I21" s="143">
        <f>(Table242325678[HARGA JUAL]*Table242325678[TERJUAL])-(Table242325678[HARGA POKOK]*Table242325678[TERJUAL])</f>
        <v>57500</v>
      </c>
      <c r="J21" s="143">
        <f>(Table242325678[HARGA JUAL]*Table242325678[TERJUAL])</f>
        <v>110000</v>
      </c>
      <c r="K21" s="143">
        <f>Table242325678[HARGA JUAL]*Table242325678[SISA]</f>
        <v>2090000</v>
      </c>
      <c r="L21" s="144">
        <f>Table242325678[HARGA POKOK]*Table242325678[STOK]</f>
        <v>1050000</v>
      </c>
      <c r="M21" s="144">
        <f>Table242325678[HARGA JUAL]*Table242325678[STOK]</f>
        <v>2200000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69</v>
      </c>
      <c r="G22" s="142">
        <v>1</v>
      </c>
      <c r="H22" s="141">
        <f>(Table242325678[STOK])-(Table242325678[TERJUAL])</f>
        <v>68</v>
      </c>
      <c r="I22" s="143">
        <f>(Table242325678[HARGA JUAL]*Table242325678[TERJUAL])-(Table242325678[HARGA POKOK]*Table242325678[TERJUAL])</f>
        <v>20000</v>
      </c>
      <c r="J22" s="143">
        <f>(Table242325678[HARGA JUAL]*Table242325678[TERJUAL])</f>
        <v>80000</v>
      </c>
      <c r="K22" s="143">
        <f>Table242325678[HARGA JUAL]*Table242325678[SISA]</f>
        <v>5440000</v>
      </c>
      <c r="L22" s="144">
        <f>Table242325678[HARGA POKOK]*Table242325678[STOK]</f>
        <v>4140000</v>
      </c>
      <c r="M22" s="144">
        <f>Table242325678[HARGA JUAL]*Table242325678[STOK]</f>
        <v>5520000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100</v>
      </c>
      <c r="G23" s="142"/>
      <c r="H23" s="141">
        <f>(Table242325678[STOK])-(Table242325678[TERJUAL])</f>
        <v>100</v>
      </c>
      <c r="I23" s="143">
        <f>(Table242325678[HARGA JUAL]*Table242325678[TERJUAL])-(Table242325678[HARGA POKOK]*Table242325678[TERJUAL])</f>
        <v>0</v>
      </c>
      <c r="J23" s="143">
        <f>(Table242325678[HARGA JUAL]*Table242325678[TERJUAL])</f>
        <v>0</v>
      </c>
      <c r="K23" s="143">
        <f>Table242325678[HARGA JUAL]*Table242325678[SISA]</f>
        <v>2500000</v>
      </c>
      <c r="L23" s="144">
        <f>Table242325678[HARGA POKOK]*Table242325678[STOK]</f>
        <v>1450000</v>
      </c>
      <c r="M23" s="144">
        <f>Table242325678[HARGA JUAL]*Table242325678[STOK]</f>
        <v>2500000</v>
      </c>
      <c r="N23" s="145"/>
    </row>
    <row r="24" spans="1:14" x14ac:dyDescent="0.25">
      <c r="A24" s="137">
        <v>20</v>
      </c>
      <c r="B24" s="138" t="s">
        <v>28</v>
      </c>
      <c r="C24" s="138" t="s">
        <v>52</v>
      </c>
      <c r="D24" s="140">
        <v>30000</v>
      </c>
      <c r="E24" s="140">
        <v>45000</v>
      </c>
      <c r="F24" s="141">
        <v>84</v>
      </c>
      <c r="G24" s="142">
        <v>7</v>
      </c>
      <c r="H24" s="141">
        <f>(Table242325678[STOK])-(Table242325678[TERJUAL])</f>
        <v>77</v>
      </c>
      <c r="I24" s="143">
        <f>(Table242325678[HARGA JUAL]*Table242325678[TERJUAL])-(Table242325678[HARGA POKOK]*Table242325678[TERJUAL])</f>
        <v>105000</v>
      </c>
      <c r="J24" s="143">
        <f>(Table242325678[HARGA JUAL]*Table242325678[TERJUAL])</f>
        <v>315000</v>
      </c>
      <c r="K24" s="143">
        <f>Table242325678[HARGA JUAL]*Table242325678[SISA]</f>
        <v>3465000</v>
      </c>
      <c r="L24" s="144">
        <f>Table242325678[HARGA POKOK]*Table242325678[STOK]</f>
        <v>2520000</v>
      </c>
      <c r="M24" s="144">
        <f>Table242325678[HARGA JUAL]*Table242325678[STOK]</f>
        <v>3780000</v>
      </c>
      <c r="N24" s="145"/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3000</v>
      </c>
      <c r="E25" s="140">
        <v>5000</v>
      </c>
      <c r="F25" s="141"/>
      <c r="G25" s="142"/>
      <c r="H25" s="141">
        <f>(Table242325678[STOK])-(Table242325678[TERJUAL])</f>
        <v>0</v>
      </c>
      <c r="I25" s="143">
        <f>(Table242325678[HARGA JUAL]*Table242325678[TERJUAL])-(Table242325678[HARGA POKOK]*Table242325678[TERJUAL])</f>
        <v>0</v>
      </c>
      <c r="J25" s="143">
        <f>(Table242325678[HARGA JUAL]*Table242325678[TERJUAL])</f>
        <v>0</v>
      </c>
      <c r="K25" s="143">
        <f>Table242325678[HARGA JUAL]*Table242325678[SISA]</f>
        <v>0</v>
      </c>
      <c r="L25" s="144">
        <f>Table242325678[HARGA POKOK]*Table242325678[STOK]</f>
        <v>0</v>
      </c>
      <c r="M25" s="144">
        <f>Table242325678[HARGA JUAL]*Table242325678[STOK]</f>
        <v>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100</v>
      </c>
      <c r="G26" s="142">
        <v>2</v>
      </c>
      <c r="H26" s="141">
        <f>(Table242325678[STOK])-(Table242325678[TERJUAL])</f>
        <v>98</v>
      </c>
      <c r="I26" s="143">
        <f>(Table242325678[HARGA JUAL]*Table242325678[TERJUAL])-(Table242325678[HARGA POKOK]*Table242325678[TERJUAL])</f>
        <v>25000</v>
      </c>
      <c r="J26" s="143">
        <f>(Table242325678[HARGA JUAL]*Table242325678[TERJUAL])</f>
        <v>120000</v>
      </c>
      <c r="K26" s="143">
        <f>Table242325678[HARGA JUAL]*Table242325678[SISA]</f>
        <v>5880000</v>
      </c>
      <c r="L26" s="144">
        <f>Table242325678[HARGA POKOK]*Table242325678[STOK]</f>
        <v>4750000</v>
      </c>
      <c r="M26" s="144">
        <f>Table242325678[HARGA JUAL]*Table242325678[STOK]</f>
        <v>6000000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24</v>
      </c>
      <c r="G27" s="142">
        <v>2</v>
      </c>
      <c r="H27" s="141">
        <f>(Table242325678[STOK])-(Table242325678[TERJUAL])</f>
        <v>22</v>
      </c>
      <c r="I27" s="143">
        <f>(Table242325678[HARGA JUAL]*Table242325678[TERJUAL])-(Table242325678[HARGA POKOK]*Table242325678[TERJUAL])</f>
        <v>57000</v>
      </c>
      <c r="J27" s="143">
        <f>(Table242325678[HARGA JUAL]*Table242325678[TERJUAL])</f>
        <v>286000</v>
      </c>
      <c r="K27" s="143">
        <f>Table242325678[HARGA JUAL]*Table242325678[SISA]</f>
        <v>3146000</v>
      </c>
      <c r="L27" s="144">
        <f>Table242325678[HARGA POKOK]*Table242325678[STOK]</f>
        <v>2748000</v>
      </c>
      <c r="M27" s="144">
        <f>Table242325678[HARGA JUAL]*Table242325678[STOK]</f>
        <v>3432000</v>
      </c>
      <c r="N27" s="145"/>
    </row>
    <row r="28" spans="1:14" x14ac:dyDescent="0.25">
      <c r="A28" s="137">
        <v>24</v>
      </c>
      <c r="B28" s="138" t="s">
        <v>29</v>
      </c>
      <c r="C28" s="138" t="s">
        <v>56</v>
      </c>
      <c r="D28" s="140">
        <v>82500</v>
      </c>
      <c r="E28" s="140">
        <v>120000</v>
      </c>
      <c r="F28" s="141">
        <v>11</v>
      </c>
      <c r="G28" s="142">
        <v>11</v>
      </c>
      <c r="H28" s="141">
        <f>(Table242325678[STOK])-(Table242325678[TERJUAL])</f>
        <v>0</v>
      </c>
      <c r="I28" s="143">
        <f>(Table242325678[HARGA JUAL]*Table242325678[TERJUAL])-(Table242325678[HARGA POKOK]*Table242325678[TERJUAL])</f>
        <v>412500</v>
      </c>
      <c r="J28" s="143">
        <f>(Table242325678[HARGA JUAL]*Table242325678[TERJUAL])</f>
        <v>1320000</v>
      </c>
      <c r="K28" s="143">
        <f>Table242325678[HARGA JUAL]*Table242325678[SISA]</f>
        <v>0</v>
      </c>
      <c r="L28" s="144">
        <f>Table242325678[HARGA POKOK]*Table242325678[STOK]</f>
        <v>907500</v>
      </c>
      <c r="M28" s="144">
        <f>Table242325678[HARGA JUAL]*Table242325678[STOK]</f>
        <v>1320000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190000</v>
      </c>
      <c r="F29" s="141">
        <v>30</v>
      </c>
      <c r="G29" s="142"/>
      <c r="H29" s="141">
        <f>(Table242325678[STOK])-(Table242325678[TERJUAL])</f>
        <v>30</v>
      </c>
      <c r="I29" s="143">
        <f>(Table242325678[HARGA JUAL]*Table242325678[TERJUAL])-(Table242325678[HARGA POKOK]*Table242325678[TERJUAL])</f>
        <v>0</v>
      </c>
      <c r="J29" s="143">
        <f>(Table242325678[HARGA JUAL]*Table242325678[TERJUAL])</f>
        <v>0</v>
      </c>
      <c r="K29" s="143">
        <f>Table242325678[HARGA JUAL]*Table242325678[SISA]</f>
        <v>5700000</v>
      </c>
      <c r="L29" s="144">
        <f>Table242325678[HARGA POKOK]*Table242325678[STOK]</f>
        <v>4950000</v>
      </c>
      <c r="M29" s="144">
        <f>Table242325678[HARGA JUAL]*Table242325678[STOK]</f>
        <v>5700000</v>
      </c>
      <c r="N29" s="145" t="s">
        <v>179</v>
      </c>
    </row>
    <row r="30" spans="1:14" x14ac:dyDescent="0.25">
      <c r="A30" s="137">
        <v>26</v>
      </c>
      <c r="B30" s="138" t="s">
        <v>30</v>
      </c>
      <c r="C30" s="138" t="s">
        <v>58</v>
      </c>
      <c r="D30" s="140">
        <v>10000</v>
      </c>
      <c r="E30" s="140">
        <v>18000</v>
      </c>
      <c r="F30" s="141">
        <v>27</v>
      </c>
      <c r="G30" s="142">
        <v>8</v>
      </c>
      <c r="H30" s="141">
        <f>(Table242325678[STOK])-(Table242325678[TERJUAL])</f>
        <v>19</v>
      </c>
      <c r="I30" s="143">
        <f>(Table242325678[HARGA JUAL]*Table242325678[TERJUAL])-(Table242325678[HARGA POKOK]*Table242325678[TERJUAL])</f>
        <v>64000</v>
      </c>
      <c r="J30" s="143">
        <f>(Table242325678[HARGA JUAL]*Table242325678[TERJUAL])</f>
        <v>144000</v>
      </c>
      <c r="K30" s="143">
        <f>Table242325678[HARGA JUAL]*Table242325678[SISA]</f>
        <v>342000</v>
      </c>
      <c r="L30" s="144">
        <f>Table242325678[HARGA POKOK]*Table242325678[STOK]</f>
        <v>270000</v>
      </c>
      <c r="M30" s="144">
        <f>Table242325678[HARGA JUAL]*Table242325678[STOK]</f>
        <v>486000</v>
      </c>
      <c r="N30" s="145"/>
    </row>
    <row r="31" spans="1:14" x14ac:dyDescent="0.25">
      <c r="A31" s="137">
        <v>27</v>
      </c>
      <c r="B31" s="138" t="s">
        <v>30</v>
      </c>
      <c r="C31" s="138" t="s">
        <v>59</v>
      </c>
      <c r="D31" s="140">
        <v>27500</v>
      </c>
      <c r="E31" s="140">
        <v>45000</v>
      </c>
      <c r="F31" s="141">
        <v>37</v>
      </c>
      <c r="G31" s="142">
        <v>5</v>
      </c>
      <c r="H31" s="141">
        <f>(Table242325678[STOK])-(Table242325678[TERJUAL])</f>
        <v>32</v>
      </c>
      <c r="I31" s="143">
        <f>(Table242325678[HARGA JUAL]*Table242325678[TERJUAL])-(Table242325678[HARGA POKOK]*Table242325678[TERJUAL])</f>
        <v>87500</v>
      </c>
      <c r="J31" s="143">
        <f>(Table242325678[HARGA JUAL]*Table242325678[TERJUAL])</f>
        <v>225000</v>
      </c>
      <c r="K31" s="143">
        <f>Table242325678[HARGA JUAL]*Table242325678[SISA]</f>
        <v>1440000</v>
      </c>
      <c r="L31" s="144">
        <f>Table242325678[HARGA POKOK]*Table242325678[STOK]</f>
        <v>1017500</v>
      </c>
      <c r="M31" s="144">
        <f>Table242325678[HARGA JUAL]*Table242325678[STOK]</f>
        <v>1665000</v>
      </c>
      <c r="N31" s="145"/>
    </row>
    <row r="32" spans="1:14" x14ac:dyDescent="0.25">
      <c r="A32" s="137">
        <v>28</v>
      </c>
      <c r="B32" s="138" t="s">
        <v>30</v>
      </c>
      <c r="C32" s="138" t="s">
        <v>60</v>
      </c>
      <c r="D32" s="140">
        <v>12500</v>
      </c>
      <c r="E32" s="140">
        <v>16000</v>
      </c>
      <c r="F32" s="141">
        <v>312</v>
      </c>
      <c r="G32" s="142">
        <v>43</v>
      </c>
      <c r="H32" s="141">
        <f>(Table242325678[STOK])-(Table242325678[TERJUAL])</f>
        <v>269</v>
      </c>
      <c r="I32" s="143">
        <f>(Table242325678[HARGA JUAL]*Table242325678[TERJUAL])-(Table242325678[HARGA POKOK]*Table242325678[TERJUAL])</f>
        <v>150500</v>
      </c>
      <c r="J32" s="143">
        <f>(Table242325678[HARGA JUAL]*Table242325678[TERJUAL])</f>
        <v>688000</v>
      </c>
      <c r="K32" s="143">
        <f>Table242325678[HARGA JUAL]*Table242325678[SISA]</f>
        <v>4304000</v>
      </c>
      <c r="L32" s="144">
        <f>Table242325678[HARGA POKOK]*Table242325678[STOK]</f>
        <v>3900000</v>
      </c>
      <c r="M32" s="144">
        <f>Table242325678[HARGA JUAL]*Table242325678[STOK]</f>
        <v>4992000</v>
      </c>
      <c r="N32" s="145"/>
    </row>
    <row r="33" spans="1:14" x14ac:dyDescent="0.25">
      <c r="A33" s="137">
        <v>29</v>
      </c>
      <c r="B33" s="138" t="s">
        <v>30</v>
      </c>
      <c r="C33" s="138" t="s">
        <v>13</v>
      </c>
      <c r="D33" s="140">
        <v>33500</v>
      </c>
      <c r="E33" s="140">
        <v>50000</v>
      </c>
      <c r="F33" s="141">
        <v>25</v>
      </c>
      <c r="G33" s="142">
        <v>8</v>
      </c>
      <c r="H33" s="141">
        <f>(Table242325678[STOK])-(Table242325678[TERJUAL])</f>
        <v>17</v>
      </c>
      <c r="I33" s="143">
        <f>(Table242325678[HARGA JUAL]*Table242325678[TERJUAL])-(Table242325678[HARGA POKOK]*Table242325678[TERJUAL])</f>
        <v>132000</v>
      </c>
      <c r="J33" s="143">
        <f>(Table242325678[HARGA JUAL]*Table242325678[TERJUAL])</f>
        <v>400000</v>
      </c>
      <c r="K33" s="143">
        <f>Table242325678[HARGA JUAL]*Table242325678[SISA]</f>
        <v>850000</v>
      </c>
      <c r="L33" s="144">
        <f>Table242325678[HARGA POKOK]*Table242325678[STOK]</f>
        <v>837500</v>
      </c>
      <c r="M33" s="144">
        <f>Table242325678[HARGA JUAL]*Table242325678[STOK]</f>
        <v>1250000</v>
      </c>
      <c r="N33" s="145"/>
    </row>
    <row r="34" spans="1:14" x14ac:dyDescent="0.25">
      <c r="A34" s="137">
        <v>30</v>
      </c>
      <c r="B34" s="138" t="s">
        <v>30</v>
      </c>
      <c r="C34" s="138" t="s">
        <v>14</v>
      </c>
      <c r="D34" s="140">
        <v>8500</v>
      </c>
      <c r="E34" s="140">
        <v>12000</v>
      </c>
      <c r="F34" s="141">
        <v>226</v>
      </c>
      <c r="G34" s="142">
        <v>12</v>
      </c>
      <c r="H34" s="141">
        <f>(Table242325678[STOK])-(Table242325678[TERJUAL])</f>
        <v>214</v>
      </c>
      <c r="I34" s="143">
        <f>(Table242325678[HARGA JUAL]*Table242325678[TERJUAL])-(Table242325678[HARGA POKOK]*Table242325678[TERJUAL])</f>
        <v>42000</v>
      </c>
      <c r="J34" s="143">
        <f>(Table242325678[HARGA JUAL]*Table242325678[TERJUAL])</f>
        <v>144000</v>
      </c>
      <c r="K34" s="143">
        <f>Table242325678[HARGA JUAL]*Table242325678[SISA]</f>
        <v>2568000</v>
      </c>
      <c r="L34" s="144">
        <f>Table242325678[HARGA POKOK]*Table242325678[STOK]</f>
        <v>1921000</v>
      </c>
      <c r="M34" s="144">
        <f>Table242325678[HARGA JUAL]*Table242325678[STOK]</f>
        <v>2712000</v>
      </c>
      <c r="N34" s="145" t="s">
        <v>201</v>
      </c>
    </row>
    <row r="35" spans="1:14" x14ac:dyDescent="0.25">
      <c r="A35" s="137">
        <v>31</v>
      </c>
      <c r="B35" s="138" t="s">
        <v>30</v>
      </c>
      <c r="C35" s="138" t="s">
        <v>15</v>
      </c>
      <c r="D35" s="140">
        <v>30500</v>
      </c>
      <c r="E35" s="140">
        <v>45000</v>
      </c>
      <c r="F35" s="141">
        <v>36</v>
      </c>
      <c r="G35" s="142">
        <v>3</v>
      </c>
      <c r="H35" s="141">
        <f>(Table242325678[STOK])-(Table242325678[TERJUAL])</f>
        <v>33</v>
      </c>
      <c r="I35" s="143">
        <f>(Table242325678[HARGA JUAL]*Table242325678[TERJUAL])-(Table242325678[HARGA POKOK]*Table242325678[TERJUAL])</f>
        <v>43500</v>
      </c>
      <c r="J35" s="143">
        <f>(Table242325678[HARGA JUAL]*Table242325678[TERJUAL])</f>
        <v>135000</v>
      </c>
      <c r="K35" s="143">
        <f>Table242325678[HARGA JUAL]*Table242325678[SISA]</f>
        <v>1485000</v>
      </c>
      <c r="L35" s="144">
        <f>Table242325678[HARGA POKOK]*Table242325678[STOK]</f>
        <v>1098000</v>
      </c>
      <c r="M35" s="144">
        <f>Table242325678[HARGA JUAL]*Table242325678[STOK]</f>
        <v>1620000</v>
      </c>
      <c r="N35" s="145"/>
    </row>
    <row r="36" spans="1:14" x14ac:dyDescent="0.25">
      <c r="A36" s="137">
        <v>32</v>
      </c>
      <c r="B36" s="138" t="s">
        <v>30</v>
      </c>
      <c r="C36" s="138" t="s">
        <v>16</v>
      </c>
      <c r="D36" s="140">
        <v>7500</v>
      </c>
      <c r="E36" s="140">
        <v>10000</v>
      </c>
      <c r="F36" s="141">
        <v>209</v>
      </c>
      <c r="G36" s="142">
        <v>17</v>
      </c>
      <c r="H36" s="141">
        <f>(Table242325678[STOK])-(Table242325678[TERJUAL])</f>
        <v>192</v>
      </c>
      <c r="I36" s="143">
        <f>(Table242325678[HARGA JUAL]*Table242325678[TERJUAL])-(Table242325678[HARGA POKOK]*Table242325678[TERJUAL])</f>
        <v>42500</v>
      </c>
      <c r="J36" s="143">
        <f>(Table242325678[HARGA JUAL]*Table242325678[TERJUAL])</f>
        <v>170000</v>
      </c>
      <c r="K36" s="143">
        <f>Table242325678[HARGA JUAL]*Table242325678[SISA]</f>
        <v>1920000</v>
      </c>
      <c r="L36" s="144">
        <f>Table242325678[HARGA POKOK]*Table242325678[STOK]</f>
        <v>1567500</v>
      </c>
      <c r="M36" s="144">
        <f>Table242325678[HARGA JUAL]*Table242325678[STOK]</f>
        <v>2090000</v>
      </c>
      <c r="N36" s="145" t="s">
        <v>202</v>
      </c>
    </row>
    <row r="37" spans="1:14" x14ac:dyDescent="0.25">
      <c r="A37" s="137">
        <v>33</v>
      </c>
      <c r="B37" s="138" t="s">
        <v>35</v>
      </c>
      <c r="C37" s="138" t="s">
        <v>36</v>
      </c>
      <c r="D37" s="140">
        <v>51500</v>
      </c>
      <c r="E37" s="140">
        <v>65000</v>
      </c>
      <c r="F37" s="141">
        <v>45</v>
      </c>
      <c r="G37" s="142">
        <v>1</v>
      </c>
      <c r="H37" s="141">
        <f>(Table242325678[STOK])-(Table242325678[TERJUAL])</f>
        <v>44</v>
      </c>
      <c r="I37" s="143">
        <f>(Table242325678[HARGA JUAL]*Table242325678[TERJUAL])-(Table242325678[HARGA POKOK]*Table242325678[TERJUAL])</f>
        <v>13500</v>
      </c>
      <c r="J37" s="143">
        <f>(Table242325678[HARGA JUAL]*Table242325678[TERJUAL])</f>
        <v>65000</v>
      </c>
      <c r="K37" s="143">
        <f>Table242325678[HARGA JUAL]*Table242325678[SISA]</f>
        <v>2860000</v>
      </c>
      <c r="L37" s="144">
        <f>Table242325678[HARGA POKOK]*Table242325678[STOK]</f>
        <v>2317500</v>
      </c>
      <c r="M37" s="144">
        <f>Table242325678[HARGA JUAL]*Table242325678[STOK]</f>
        <v>2925000</v>
      </c>
      <c r="N37" s="145"/>
    </row>
    <row r="38" spans="1:14" x14ac:dyDescent="0.25">
      <c r="A38" s="137">
        <v>34</v>
      </c>
      <c r="B38" s="138" t="s">
        <v>35</v>
      </c>
      <c r="C38" s="138" t="s">
        <v>175</v>
      </c>
      <c r="D38" s="140">
        <v>27500</v>
      </c>
      <c r="E38" s="140">
        <v>40000</v>
      </c>
      <c r="F38" s="141">
        <v>90</v>
      </c>
      <c r="G38" s="142">
        <v>3</v>
      </c>
      <c r="H38" s="141">
        <f>(Table242325678[STOK])-(Table242325678[TERJUAL])</f>
        <v>87</v>
      </c>
      <c r="I38" s="143">
        <f>(Table242325678[HARGA JUAL]*Table242325678[TERJUAL])-(Table242325678[HARGA POKOK]*Table242325678[TERJUAL])</f>
        <v>37500</v>
      </c>
      <c r="J38" s="143">
        <f>(Table242325678[HARGA JUAL]*Table242325678[TERJUAL])</f>
        <v>120000</v>
      </c>
      <c r="K38" s="143">
        <f>Table242325678[HARGA JUAL]*Table242325678[SISA]</f>
        <v>3480000</v>
      </c>
      <c r="L38" s="144">
        <f>Table242325678[HARGA POKOK]*Table242325678[STOK]</f>
        <v>2475000</v>
      </c>
      <c r="M38" s="144">
        <f>Table242325678[HARGA JUAL]*Table242325678[STOK]</f>
        <v>3600000</v>
      </c>
      <c r="N38" s="145"/>
    </row>
    <row r="39" spans="1:14" x14ac:dyDescent="0.25">
      <c r="A39" s="137">
        <v>35</v>
      </c>
      <c r="B39" s="138" t="s">
        <v>31</v>
      </c>
      <c r="C39" s="138" t="s">
        <v>180</v>
      </c>
      <c r="D39" s="140">
        <v>21500</v>
      </c>
      <c r="E39" s="140">
        <v>40000</v>
      </c>
      <c r="F39" s="141">
        <v>120</v>
      </c>
      <c r="G39" s="142"/>
      <c r="H39" s="141">
        <f>(Table242325678[STOK])-(Table242325678[TERJUAL])</f>
        <v>120</v>
      </c>
      <c r="I39" s="143">
        <f>(Table242325678[HARGA JUAL]*Table242325678[TERJUAL])-(Table242325678[HARGA POKOK]*Table242325678[TERJUAL])</f>
        <v>0</v>
      </c>
      <c r="J39" s="143">
        <f>(Table242325678[HARGA JUAL]*Table242325678[TERJUAL])</f>
        <v>0</v>
      </c>
      <c r="K39" s="143">
        <f>Table242325678[HARGA JUAL]*Table242325678[SISA]</f>
        <v>4800000</v>
      </c>
      <c r="L39" s="144">
        <f>Table242325678[HARGA POKOK]*Table242325678[STOK]</f>
        <v>2580000</v>
      </c>
      <c r="M39" s="144">
        <f>Table242325678[HARGA JUAL]*Table242325678[STOK]</f>
        <v>4800000</v>
      </c>
      <c r="N39" s="145"/>
    </row>
    <row r="40" spans="1:14" x14ac:dyDescent="0.25">
      <c r="A40" s="137">
        <v>36</v>
      </c>
      <c r="B40" s="138" t="s">
        <v>31</v>
      </c>
      <c r="C40" s="138" t="s">
        <v>62</v>
      </c>
      <c r="D40" s="140">
        <v>25000</v>
      </c>
      <c r="E40" s="140">
        <v>40000</v>
      </c>
      <c r="F40" s="141"/>
      <c r="G40" s="142"/>
      <c r="H40" s="141">
        <f>(Table242325678[STOK])-(Table242325678[TERJUAL])</f>
        <v>0</v>
      </c>
      <c r="I40" s="143">
        <f>(Table242325678[HARGA JUAL]*Table242325678[TERJUAL])-(Table242325678[HARGA POKOK]*Table242325678[TERJUAL])</f>
        <v>0</v>
      </c>
      <c r="J40" s="143">
        <f>(Table242325678[HARGA JUAL]*Table242325678[TERJUAL])</f>
        <v>0</v>
      </c>
      <c r="K40" s="143">
        <f>Table242325678[HARGA JUAL]*Table242325678[SISA]</f>
        <v>0</v>
      </c>
      <c r="L40" s="144">
        <f>Table242325678[HARGA POKOK]*Table242325678[STOK]</f>
        <v>0</v>
      </c>
      <c r="M40" s="144">
        <f>Table242325678[HARGA JUAL]*Table242325678[STOK]</f>
        <v>0</v>
      </c>
      <c r="N40" s="145"/>
    </row>
    <row r="41" spans="1:14" x14ac:dyDescent="0.25">
      <c r="A41" s="137">
        <v>37</v>
      </c>
      <c r="B41" s="138" t="s">
        <v>31</v>
      </c>
      <c r="C41" s="138" t="s">
        <v>181</v>
      </c>
      <c r="D41" s="140">
        <v>34500</v>
      </c>
      <c r="E41" s="140">
        <v>45000</v>
      </c>
      <c r="F41" s="141">
        <v>120</v>
      </c>
      <c r="G41" s="142"/>
      <c r="H41" s="141">
        <f>(Table242325678[STOK])-(Table242325678[TERJUAL])</f>
        <v>120</v>
      </c>
      <c r="I41" s="143">
        <f>(Table242325678[HARGA JUAL]*Table242325678[TERJUAL])-(Table242325678[HARGA POKOK]*Table242325678[TERJUAL])</f>
        <v>0</v>
      </c>
      <c r="J41" s="143">
        <f>(Table242325678[HARGA JUAL]*Table242325678[TERJUAL])</f>
        <v>0</v>
      </c>
      <c r="K41" s="143">
        <f>Table242325678[HARGA JUAL]*Table242325678[SISA]</f>
        <v>5400000</v>
      </c>
      <c r="L41" s="144">
        <f>Table242325678[HARGA POKOK]*Table242325678[STOK]</f>
        <v>4140000</v>
      </c>
      <c r="M41" s="144">
        <f>Table242325678[HARGA JUAL]*Table242325678[STOK]</f>
        <v>5400000</v>
      </c>
      <c r="N41" s="145"/>
    </row>
    <row r="42" spans="1:14" x14ac:dyDescent="0.25">
      <c r="A42" s="137">
        <v>38</v>
      </c>
      <c r="B42" s="138" t="s">
        <v>31</v>
      </c>
      <c r="C42" s="138" t="s">
        <v>64</v>
      </c>
      <c r="D42" s="140">
        <v>24000</v>
      </c>
      <c r="E42" s="140">
        <v>40000</v>
      </c>
      <c r="F42" s="141">
        <v>5</v>
      </c>
      <c r="G42" s="142">
        <v>2</v>
      </c>
      <c r="H42" s="141">
        <f>(Table242325678[STOK])-(Table242325678[TERJUAL])</f>
        <v>3</v>
      </c>
      <c r="I42" s="143">
        <f>(Table242325678[HARGA JUAL]*Table242325678[TERJUAL])-(Table242325678[HARGA POKOK]*Table242325678[TERJUAL])</f>
        <v>32000</v>
      </c>
      <c r="J42" s="143">
        <f>(Table242325678[HARGA JUAL]*Table242325678[TERJUAL])</f>
        <v>80000</v>
      </c>
      <c r="K42" s="143">
        <f>Table242325678[HARGA JUAL]*Table242325678[SISA]</f>
        <v>120000</v>
      </c>
      <c r="L42" s="144">
        <f>Table242325678[HARGA POKOK]*Table242325678[STOK]</f>
        <v>120000</v>
      </c>
      <c r="M42" s="144">
        <f>Table242325678[HARGA JUAL]*Table242325678[STOK]</f>
        <v>200000</v>
      </c>
      <c r="N42" s="145"/>
    </row>
    <row r="43" spans="1:14" x14ac:dyDescent="0.25">
      <c r="A43" s="137">
        <v>39</v>
      </c>
      <c r="B43" s="138" t="s">
        <v>31</v>
      </c>
      <c r="C43" s="138" t="s">
        <v>138</v>
      </c>
      <c r="D43" s="140">
        <v>34000</v>
      </c>
      <c r="E43" s="140">
        <v>40000</v>
      </c>
      <c r="F43" s="141">
        <v>3</v>
      </c>
      <c r="G43" s="142"/>
      <c r="H43" s="141">
        <f>(Table242325678[STOK])-(Table242325678[TERJUAL])</f>
        <v>3</v>
      </c>
      <c r="I43" s="143">
        <f>(Table242325678[HARGA JUAL]*Table242325678[TERJUAL])-(Table242325678[HARGA POKOK]*Table242325678[TERJUAL])</f>
        <v>0</v>
      </c>
      <c r="J43" s="143">
        <f>(Table242325678[HARGA JUAL]*Table242325678[TERJUAL])</f>
        <v>0</v>
      </c>
      <c r="K43" s="143">
        <f>Table242325678[HARGA JUAL]*Table242325678[SISA]</f>
        <v>120000</v>
      </c>
      <c r="L43" s="144">
        <f>Table242325678[HARGA POKOK]*Table242325678[STOK]</f>
        <v>102000</v>
      </c>
      <c r="M43" s="144">
        <f>Table242325678[HARGA JUAL]*Table242325678[STOK]</f>
        <v>120000</v>
      </c>
      <c r="N43" s="145"/>
    </row>
    <row r="44" spans="1:14" x14ac:dyDescent="0.25">
      <c r="A44" s="137">
        <v>40</v>
      </c>
      <c r="B44" s="138" t="s">
        <v>31</v>
      </c>
      <c r="C44" s="138" t="s">
        <v>182</v>
      </c>
      <c r="D44" s="140">
        <v>20000</v>
      </c>
      <c r="E44" s="140">
        <v>40000</v>
      </c>
      <c r="F44" s="141">
        <v>5</v>
      </c>
      <c r="G44" s="142"/>
      <c r="H44" s="141">
        <f>(Table242325678[STOK])-(Table242325678[TERJUAL])</f>
        <v>5</v>
      </c>
      <c r="I44" s="143">
        <f>(Table242325678[HARGA JUAL]*Table242325678[TERJUAL])-(Table242325678[HARGA POKOK]*Table242325678[TERJUAL])</f>
        <v>0</v>
      </c>
      <c r="J44" s="143">
        <f>(Table242325678[HARGA JUAL]*Table242325678[TERJUAL])</f>
        <v>0</v>
      </c>
      <c r="K44" s="143">
        <f>Table242325678[HARGA JUAL]*Table242325678[SISA]</f>
        <v>200000</v>
      </c>
      <c r="L44" s="144">
        <f>Table242325678[HARGA POKOK]*Table242325678[STOK]</f>
        <v>100000</v>
      </c>
      <c r="M44" s="144">
        <f>Table242325678[HARGA JUAL]*Table242325678[STOK]</f>
        <v>200000</v>
      </c>
      <c r="N44" s="145"/>
    </row>
    <row r="45" spans="1:14" x14ac:dyDescent="0.25">
      <c r="A45" s="137">
        <v>41</v>
      </c>
      <c r="B45" s="138" t="s">
        <v>31</v>
      </c>
      <c r="C45" s="138" t="s">
        <v>67</v>
      </c>
      <c r="D45" s="140">
        <v>27500</v>
      </c>
      <c r="E45" s="140">
        <v>40000</v>
      </c>
      <c r="F45" s="141">
        <v>28</v>
      </c>
      <c r="G45" s="142">
        <v>3</v>
      </c>
      <c r="H45" s="141">
        <f>(Table242325678[STOK])-(Table242325678[TERJUAL])</f>
        <v>25</v>
      </c>
      <c r="I45" s="143">
        <f>(Table242325678[HARGA JUAL]*Table242325678[TERJUAL])-(Table242325678[HARGA POKOK]*Table242325678[TERJUAL])</f>
        <v>37500</v>
      </c>
      <c r="J45" s="143">
        <f>(Table242325678[HARGA JUAL]*Table242325678[TERJUAL])</f>
        <v>120000</v>
      </c>
      <c r="K45" s="143">
        <f>Table242325678[HARGA JUAL]*Table242325678[SISA]</f>
        <v>1000000</v>
      </c>
      <c r="L45" s="144">
        <f>Table242325678[HARGA POKOK]*Table242325678[STOK]</f>
        <v>770000</v>
      </c>
      <c r="M45" s="144">
        <f>Table242325678[HARGA JUAL]*Table242325678[STOK]</f>
        <v>1120000</v>
      </c>
      <c r="N45" s="145"/>
    </row>
    <row r="46" spans="1:14" x14ac:dyDescent="0.25">
      <c r="A46" s="137">
        <v>42</v>
      </c>
      <c r="B46" s="138" t="s">
        <v>31</v>
      </c>
      <c r="C46" s="138" t="s">
        <v>140</v>
      </c>
      <c r="D46" s="140">
        <v>15000</v>
      </c>
      <c r="E46" s="140">
        <v>30000</v>
      </c>
      <c r="F46" s="141">
        <v>6</v>
      </c>
      <c r="G46" s="142">
        <v>2</v>
      </c>
      <c r="H46" s="141">
        <f>(Table242325678[STOK])-(Table242325678[TERJUAL])</f>
        <v>4</v>
      </c>
      <c r="I46" s="143">
        <f>(Table242325678[HARGA JUAL]*Table242325678[TERJUAL])-(Table242325678[HARGA POKOK]*Table242325678[TERJUAL])</f>
        <v>30000</v>
      </c>
      <c r="J46" s="143">
        <f>(Table242325678[HARGA JUAL]*Table242325678[TERJUAL])</f>
        <v>60000</v>
      </c>
      <c r="K46" s="143">
        <f>Table242325678[HARGA JUAL]*Table242325678[SISA]</f>
        <v>120000</v>
      </c>
      <c r="L46" s="144">
        <f>Table242325678[HARGA POKOK]*Table242325678[STOK]</f>
        <v>90000</v>
      </c>
      <c r="M46" s="144">
        <f>Table242325678[HARGA JUAL]*Table242325678[STOK]</f>
        <v>180000</v>
      </c>
      <c r="N46" s="145"/>
    </row>
    <row r="47" spans="1:14" x14ac:dyDescent="0.25">
      <c r="A47" s="137">
        <v>43</v>
      </c>
      <c r="B47" s="138" t="s">
        <v>31</v>
      </c>
      <c r="C47" s="138" t="s">
        <v>137</v>
      </c>
      <c r="D47" s="140">
        <v>190000</v>
      </c>
      <c r="E47" s="140">
        <v>200000</v>
      </c>
      <c r="F47" s="141">
        <v>25</v>
      </c>
      <c r="G47" s="142">
        <v>13</v>
      </c>
      <c r="H47" s="141">
        <f>(Table242325678[STOK])-(Table242325678[TERJUAL])</f>
        <v>12</v>
      </c>
      <c r="I47" s="143">
        <f>(Table242325678[HARGA JUAL]*Table242325678[TERJUAL])-(Table242325678[HARGA POKOK]*Table242325678[TERJUAL])</f>
        <v>130000</v>
      </c>
      <c r="J47" s="143">
        <f>(Table242325678[HARGA JUAL]*Table242325678[TERJUAL])</f>
        <v>2600000</v>
      </c>
      <c r="K47" s="143">
        <f>Table242325678[HARGA JUAL]*Table242325678[SISA]</f>
        <v>2400000</v>
      </c>
      <c r="L47" s="144">
        <f>Table242325678[HARGA POKOK]*Table242325678[STOK]</f>
        <v>4750000</v>
      </c>
      <c r="M47" s="144">
        <f>Table242325678[HARGA JUAL]*Table242325678[STOK]</f>
        <v>5000000</v>
      </c>
      <c r="N47" s="145"/>
    </row>
    <row r="48" spans="1:14" x14ac:dyDescent="0.25">
      <c r="A48" s="137">
        <v>44</v>
      </c>
      <c r="B48" s="138" t="s">
        <v>31</v>
      </c>
      <c r="C48" s="138" t="s">
        <v>139</v>
      </c>
      <c r="D48" s="140">
        <v>16000</v>
      </c>
      <c r="E48" s="140">
        <v>25000</v>
      </c>
      <c r="F48" s="141">
        <v>9</v>
      </c>
      <c r="G48" s="142">
        <v>2</v>
      </c>
      <c r="H48" s="141">
        <f>(Table242325678[STOK])-(Table242325678[TERJUAL])</f>
        <v>7</v>
      </c>
      <c r="I48" s="143">
        <f>(Table242325678[HARGA JUAL]*Table242325678[TERJUAL])-(Table242325678[HARGA POKOK]*Table242325678[TERJUAL])</f>
        <v>18000</v>
      </c>
      <c r="J48" s="143">
        <f>(Table242325678[HARGA JUAL]*Table242325678[TERJUAL])</f>
        <v>50000</v>
      </c>
      <c r="K48" s="143">
        <f>Table242325678[HARGA JUAL]*Table242325678[SISA]</f>
        <v>175000</v>
      </c>
      <c r="L48" s="144">
        <f>Table242325678[HARGA POKOK]*Table242325678[STOK]</f>
        <v>144000</v>
      </c>
      <c r="M48" s="144">
        <f>Table242325678[HARGA JUAL]*Table242325678[STOK]</f>
        <v>225000</v>
      </c>
      <c r="N48" s="145"/>
    </row>
    <row r="49" spans="1:21" x14ac:dyDescent="0.25">
      <c r="A49" s="137">
        <v>45</v>
      </c>
      <c r="B49" s="138" t="s">
        <v>31</v>
      </c>
      <c r="C49" s="138" t="s">
        <v>134</v>
      </c>
      <c r="D49" s="140">
        <v>18000</v>
      </c>
      <c r="E49" s="140">
        <v>30000</v>
      </c>
      <c r="F49" s="141">
        <v>11</v>
      </c>
      <c r="G49" s="142">
        <v>3</v>
      </c>
      <c r="H49" s="141">
        <f>(Table242325678[STOK])-(Table242325678[TERJUAL])</f>
        <v>8</v>
      </c>
      <c r="I49" s="143">
        <f>(Table242325678[HARGA JUAL]*Table242325678[TERJUAL])-(Table242325678[HARGA POKOK]*Table242325678[TERJUAL])</f>
        <v>36000</v>
      </c>
      <c r="J49" s="143">
        <f>(Table242325678[HARGA JUAL]*Table242325678[TERJUAL])</f>
        <v>90000</v>
      </c>
      <c r="K49" s="143">
        <f>Table242325678[HARGA JUAL]*Table242325678[SISA]</f>
        <v>240000</v>
      </c>
      <c r="L49" s="144">
        <f>Table242325678[HARGA POKOK]*Table242325678[STOK]</f>
        <v>198000</v>
      </c>
      <c r="M49" s="144">
        <f>Table242325678[HARGA JUAL]*Table242325678[STOK]</f>
        <v>330000</v>
      </c>
      <c r="N49" s="145"/>
    </row>
    <row r="50" spans="1:21" x14ac:dyDescent="0.25">
      <c r="A50" s="137">
        <v>46</v>
      </c>
      <c r="B50" s="138" t="s">
        <v>31</v>
      </c>
      <c r="C50" s="138" t="s">
        <v>183</v>
      </c>
      <c r="D50" s="140">
        <v>18000</v>
      </c>
      <c r="E50" s="140">
        <v>30000</v>
      </c>
      <c r="F50" s="141">
        <v>5</v>
      </c>
      <c r="G50" s="142">
        <v>1</v>
      </c>
      <c r="H50" s="141">
        <f>(Table242325678[STOK])-(Table242325678[TERJUAL])</f>
        <v>4</v>
      </c>
      <c r="I50" s="143">
        <f>(Table242325678[HARGA JUAL]*Table242325678[TERJUAL])-(Table242325678[HARGA POKOK]*Table242325678[TERJUAL])</f>
        <v>12000</v>
      </c>
      <c r="J50" s="143">
        <f>(Table242325678[HARGA JUAL]*Table242325678[TERJUAL])</f>
        <v>30000</v>
      </c>
      <c r="K50" s="143">
        <f>Table242325678[HARGA JUAL]*Table242325678[SISA]</f>
        <v>120000</v>
      </c>
      <c r="L50" s="144">
        <f>Table242325678[HARGA POKOK]*Table242325678[STOK]</f>
        <v>90000</v>
      </c>
      <c r="M50" s="144">
        <f>Table242325678[HARGA JUAL]*Table242325678[STOK]</f>
        <v>150000</v>
      </c>
      <c r="N50" s="145"/>
    </row>
    <row r="51" spans="1:21" x14ac:dyDescent="0.25">
      <c r="A51" s="137">
        <v>47</v>
      </c>
      <c r="B51" s="138" t="s">
        <v>31</v>
      </c>
      <c r="C51" s="138" t="s">
        <v>184</v>
      </c>
      <c r="D51" s="140">
        <v>12500</v>
      </c>
      <c r="E51" s="140">
        <v>30000</v>
      </c>
      <c r="F51" s="141">
        <v>120</v>
      </c>
      <c r="G51" s="142">
        <v>6</v>
      </c>
      <c r="H51" s="141">
        <f>(Table242325678[STOK])-(Table242325678[TERJUAL])</f>
        <v>114</v>
      </c>
      <c r="I51" s="143">
        <f>(Table242325678[HARGA JUAL]*Table242325678[TERJUAL])-(Table242325678[HARGA POKOK]*Table242325678[TERJUAL])</f>
        <v>105000</v>
      </c>
      <c r="J51" s="143">
        <f>(Table242325678[HARGA JUAL]*Table242325678[TERJUAL])</f>
        <v>180000</v>
      </c>
      <c r="K51" s="143">
        <f>Table242325678[HARGA JUAL]*Table242325678[SISA]</f>
        <v>3420000</v>
      </c>
      <c r="L51" s="144">
        <f>Table242325678[HARGA POKOK]*Table242325678[STOK]</f>
        <v>1500000</v>
      </c>
      <c r="M51" s="144">
        <f>Table242325678[HARGA JUAL]*Table242325678[STOK]</f>
        <v>3600000</v>
      </c>
      <c r="N51" s="145"/>
    </row>
    <row r="52" spans="1:21" x14ac:dyDescent="0.25">
      <c r="A52" s="137">
        <v>48</v>
      </c>
      <c r="B52" s="138" t="s">
        <v>31</v>
      </c>
      <c r="C52" s="138" t="s">
        <v>185</v>
      </c>
      <c r="D52" s="140">
        <v>28500</v>
      </c>
      <c r="E52" s="140">
        <v>40000</v>
      </c>
      <c r="F52" s="141">
        <v>80</v>
      </c>
      <c r="G52" s="142">
        <v>13</v>
      </c>
      <c r="H52" s="141">
        <f>(Table242325678[STOK])-(Table242325678[TERJUAL])</f>
        <v>67</v>
      </c>
      <c r="I52" s="143">
        <f>(Table242325678[HARGA JUAL]*Table242325678[TERJUAL])-(Table242325678[HARGA POKOK]*Table242325678[TERJUAL])</f>
        <v>149500</v>
      </c>
      <c r="J52" s="143">
        <f>(Table242325678[HARGA JUAL]*Table242325678[TERJUAL])</f>
        <v>520000</v>
      </c>
      <c r="K52" s="143">
        <f>Table242325678[HARGA JUAL]*Table242325678[SISA]</f>
        <v>2680000</v>
      </c>
      <c r="L52" s="144">
        <f>Table242325678[HARGA POKOK]*Table242325678[STOK]</f>
        <v>2280000</v>
      </c>
      <c r="M52" s="144">
        <f>Table242325678[HARGA JUAL]*Table242325678[STOK]</f>
        <v>3200000</v>
      </c>
      <c r="N52" s="145"/>
    </row>
    <row r="53" spans="1:21" x14ac:dyDescent="0.25">
      <c r="A53" s="137">
        <v>49</v>
      </c>
      <c r="B53" s="138" t="s">
        <v>31</v>
      </c>
      <c r="C53" s="138" t="s">
        <v>186</v>
      </c>
      <c r="D53" s="140">
        <v>48500</v>
      </c>
      <c r="E53" s="140">
        <v>65000</v>
      </c>
      <c r="F53" s="141">
        <v>10</v>
      </c>
      <c r="G53" s="142"/>
      <c r="H53" s="141">
        <f>(Table242325678[STOK])-(Table242325678[TERJUAL])</f>
        <v>10</v>
      </c>
      <c r="I53" s="143">
        <f>(Table242325678[HARGA JUAL]*Table242325678[TERJUAL])-(Table242325678[HARGA POKOK]*Table242325678[TERJUAL])</f>
        <v>0</v>
      </c>
      <c r="J53" s="143">
        <f>(Table242325678[HARGA JUAL]*Table242325678[TERJUAL])</f>
        <v>0</v>
      </c>
      <c r="K53" s="143">
        <f>Table242325678[HARGA JUAL]*Table242325678[SISA]</f>
        <v>650000</v>
      </c>
      <c r="L53" s="144">
        <f>Table242325678[HARGA POKOK]*Table242325678[STOK]</f>
        <v>485000</v>
      </c>
      <c r="M53" s="144">
        <f>Table242325678[HARGA JUAL]*Table242325678[STOK]</f>
        <v>650000</v>
      </c>
      <c r="N53" s="145"/>
    </row>
    <row r="54" spans="1:21" x14ac:dyDescent="0.25">
      <c r="A54" s="137">
        <v>50</v>
      </c>
      <c r="B54" s="138" t="s">
        <v>31</v>
      </c>
      <c r="C54" s="138" t="s">
        <v>187</v>
      </c>
      <c r="D54" s="140">
        <v>47500</v>
      </c>
      <c r="E54" s="140">
        <v>65000</v>
      </c>
      <c r="F54" s="141">
        <v>80</v>
      </c>
      <c r="G54" s="142"/>
      <c r="H54" s="141">
        <f>(Table242325678[STOK])-(Table242325678[TERJUAL])</f>
        <v>80</v>
      </c>
      <c r="I54" s="143">
        <f>(Table242325678[HARGA JUAL]*Table242325678[TERJUAL])-(Table242325678[HARGA POKOK]*Table242325678[TERJUAL])</f>
        <v>0</v>
      </c>
      <c r="J54" s="143">
        <f>(Table242325678[HARGA JUAL]*Table242325678[TERJUAL])</f>
        <v>0</v>
      </c>
      <c r="K54" s="143">
        <f>Table242325678[HARGA JUAL]*Table242325678[SISA]</f>
        <v>5200000</v>
      </c>
      <c r="L54" s="144">
        <f>Table242325678[HARGA POKOK]*Table242325678[STOK]</f>
        <v>3800000</v>
      </c>
      <c r="M54" s="144">
        <f>Table242325678[HARGA JUAL]*Table242325678[STOK]</f>
        <v>5200000</v>
      </c>
      <c r="N54" s="145"/>
    </row>
    <row r="55" spans="1:21" x14ac:dyDescent="0.25">
      <c r="A55" s="137">
        <v>51</v>
      </c>
      <c r="B55" s="138" t="s">
        <v>32</v>
      </c>
      <c r="C55" s="138" t="s">
        <v>18</v>
      </c>
      <c r="D55" s="140">
        <v>1700</v>
      </c>
      <c r="E55" s="140">
        <v>5000</v>
      </c>
      <c r="F55" s="141">
        <v>100</v>
      </c>
      <c r="G55" s="142">
        <v>57</v>
      </c>
      <c r="H55" s="141">
        <f>(Table242325678[STOK])-(Table242325678[TERJUAL])</f>
        <v>43</v>
      </c>
      <c r="I55" s="143">
        <f>(Table242325678[HARGA JUAL]*Table242325678[TERJUAL])-(Table242325678[HARGA POKOK]*Table242325678[TERJUAL])</f>
        <v>188100</v>
      </c>
      <c r="J55" s="143">
        <f>(Table242325678[HARGA JUAL]*Table242325678[TERJUAL])</f>
        <v>285000</v>
      </c>
      <c r="K55" s="143">
        <f>Table242325678[HARGA JUAL]*Table242325678[SISA]</f>
        <v>215000</v>
      </c>
      <c r="L55" s="144">
        <f>Table242325678[HARGA POKOK]*Table242325678[STOK]</f>
        <v>170000</v>
      </c>
      <c r="M55" s="144">
        <f>Table242325678[HARGA JUAL]*Table242325678[STOK]</f>
        <v>500000</v>
      </c>
      <c r="N55" s="145"/>
    </row>
    <row r="56" spans="1:21" x14ac:dyDescent="0.25">
      <c r="A56" s="137">
        <v>52</v>
      </c>
      <c r="B56" s="138" t="s">
        <v>32</v>
      </c>
      <c r="C56" s="138" t="s">
        <v>21</v>
      </c>
      <c r="D56" s="140">
        <v>30000</v>
      </c>
      <c r="E56" s="140">
        <v>45000</v>
      </c>
      <c r="F56" s="141"/>
      <c r="G56" s="142"/>
      <c r="H56" s="141">
        <f>(Table242325678[STOK])-(Table242325678[TERJUAL])</f>
        <v>0</v>
      </c>
      <c r="I56" s="143">
        <f>(Table242325678[HARGA JUAL]*Table242325678[TERJUAL])-(Table242325678[HARGA POKOK]*Table242325678[TERJUAL])</f>
        <v>0</v>
      </c>
      <c r="J56" s="143">
        <f>(Table242325678[HARGA JUAL]*Table242325678[TERJUAL])</f>
        <v>0</v>
      </c>
      <c r="K56" s="143">
        <f>Table242325678[HARGA JUAL]*Table242325678[SISA]</f>
        <v>0</v>
      </c>
      <c r="L56" s="144">
        <f>Table242325678[HARGA POKOK]*Table242325678[STOK]</f>
        <v>0</v>
      </c>
      <c r="M56" s="144">
        <f>Table242325678[HARGA JUAL]*Table242325678[STOK]</f>
        <v>0</v>
      </c>
      <c r="N56" s="145"/>
    </row>
    <row r="57" spans="1:21" x14ac:dyDescent="0.25">
      <c r="A57" s="137">
        <v>53</v>
      </c>
      <c r="B57" s="138" t="s">
        <v>32</v>
      </c>
      <c r="C57" s="138" t="s">
        <v>20</v>
      </c>
      <c r="D57" s="140">
        <v>1500</v>
      </c>
      <c r="E57" s="140">
        <v>5000</v>
      </c>
      <c r="F57" s="141"/>
      <c r="G57" s="142"/>
      <c r="H57" s="141">
        <f>(Table242325678[STOK])-(Table242325678[TERJUAL])</f>
        <v>0</v>
      </c>
      <c r="I57" s="143">
        <f>(Table242325678[HARGA JUAL]*Table242325678[TERJUAL])-(Table242325678[HARGA POKOK]*Table242325678[TERJUAL])</f>
        <v>0</v>
      </c>
      <c r="J57" s="143">
        <f>(Table242325678[HARGA JUAL]*Table242325678[TERJUAL])</f>
        <v>0</v>
      </c>
      <c r="K57" s="143">
        <f>Table242325678[HARGA JUAL]*Table242325678[SISA]</f>
        <v>0</v>
      </c>
      <c r="L57" s="144">
        <f>Table242325678[HARGA POKOK]*Table242325678[STOK]</f>
        <v>0</v>
      </c>
      <c r="M57" s="144">
        <f>Table242325678[HARGA JUAL]*Table242325678[STOK]</f>
        <v>0</v>
      </c>
      <c r="N57" s="145"/>
    </row>
    <row r="58" spans="1:21" x14ac:dyDescent="0.25">
      <c r="A58" s="137">
        <v>54</v>
      </c>
      <c r="B58" s="138" t="s">
        <v>32</v>
      </c>
      <c r="C58" s="138" t="s">
        <v>23</v>
      </c>
      <c r="D58" s="140">
        <v>30000</v>
      </c>
      <c r="E58" s="140">
        <v>40000</v>
      </c>
      <c r="F58" s="141">
        <v>1</v>
      </c>
      <c r="G58" s="142"/>
      <c r="H58" s="141">
        <f>(Table242325678[STOK])-(Table242325678[TERJUAL])</f>
        <v>1</v>
      </c>
      <c r="I58" s="143">
        <f>(Table242325678[HARGA JUAL]*Table242325678[TERJUAL])-(Table242325678[HARGA POKOK]*Table242325678[TERJUAL])</f>
        <v>0</v>
      </c>
      <c r="J58" s="143">
        <f>(Table242325678[HARGA JUAL]*Table242325678[TERJUAL])</f>
        <v>0</v>
      </c>
      <c r="K58" s="143">
        <f>Table242325678[HARGA JUAL]*Table242325678[SISA]</f>
        <v>40000</v>
      </c>
      <c r="L58" s="144">
        <f>Table242325678[HARGA POKOK]*Table242325678[STOK]</f>
        <v>30000</v>
      </c>
      <c r="M58" s="144">
        <f>Table242325678[HARGA JUAL]*Table242325678[STOK]</f>
        <v>40000</v>
      </c>
      <c r="N58" s="145"/>
    </row>
    <row r="59" spans="1:21" x14ac:dyDescent="0.25">
      <c r="A59" s="137">
        <v>55</v>
      </c>
      <c r="B59" s="138" t="s">
        <v>32</v>
      </c>
      <c r="C59" s="138" t="s">
        <v>19</v>
      </c>
      <c r="D59" s="140">
        <v>1600</v>
      </c>
      <c r="E59" s="140">
        <v>5000</v>
      </c>
      <c r="F59" s="141">
        <v>69</v>
      </c>
      <c r="G59" s="142">
        <v>22</v>
      </c>
      <c r="H59" s="141">
        <f>(Table242325678[STOK])-(Table242325678[TERJUAL])</f>
        <v>47</v>
      </c>
      <c r="I59" s="143">
        <f>(Table242325678[HARGA JUAL]*Table242325678[TERJUAL])-(Table242325678[HARGA POKOK]*Table242325678[TERJUAL])</f>
        <v>74800</v>
      </c>
      <c r="J59" s="143">
        <f>(Table242325678[HARGA JUAL]*Table242325678[TERJUAL])</f>
        <v>110000</v>
      </c>
      <c r="K59" s="143">
        <f>Table242325678[HARGA JUAL]*Table242325678[SISA]</f>
        <v>235000</v>
      </c>
      <c r="L59" s="144">
        <f>Table242325678[HARGA POKOK]*Table242325678[STOK]</f>
        <v>110400</v>
      </c>
      <c r="M59" s="144">
        <f>Table242325678[HARGA JUAL]*Table242325678[STOK]</f>
        <v>345000</v>
      </c>
      <c r="N59" s="145"/>
    </row>
    <row r="60" spans="1:21" x14ac:dyDescent="0.25">
      <c r="A60" s="137">
        <v>56</v>
      </c>
      <c r="B60" s="138" t="s">
        <v>32</v>
      </c>
      <c r="C60" s="138" t="s">
        <v>22</v>
      </c>
      <c r="D60" s="140">
        <v>30000</v>
      </c>
      <c r="E60" s="140">
        <v>40000</v>
      </c>
      <c r="F60" s="141"/>
      <c r="G60" s="142"/>
      <c r="H60" s="141">
        <f>(Table242325678[STOK])-(Table242325678[TERJUAL])</f>
        <v>0</v>
      </c>
      <c r="I60" s="143">
        <f>(Table242325678[HARGA JUAL]*Table242325678[TERJUAL])-(Table242325678[HARGA POKOK]*Table242325678[TERJUAL])</f>
        <v>0</v>
      </c>
      <c r="J60" s="143">
        <f>(Table242325678[HARGA JUAL]*Table242325678[TERJUAL])</f>
        <v>0</v>
      </c>
      <c r="K60" s="143">
        <f>Table242325678[HARGA JUAL]*Table242325678[SISA]</f>
        <v>0</v>
      </c>
      <c r="L60" s="144">
        <f>Table242325678[HARGA POKOK]*Table242325678[STOK]</f>
        <v>0</v>
      </c>
      <c r="M60" s="144">
        <f>Table242325678[HARGA JUAL]*Table242325678[STOK]</f>
        <v>0</v>
      </c>
      <c r="N60" s="145"/>
    </row>
    <row r="61" spans="1:21" x14ac:dyDescent="0.25">
      <c r="A61" s="137">
        <v>57</v>
      </c>
      <c r="B61" s="138" t="s">
        <v>32</v>
      </c>
      <c r="C61" s="138" t="s">
        <v>24</v>
      </c>
      <c r="D61" s="140">
        <v>17500</v>
      </c>
      <c r="E61" s="140">
        <v>40000</v>
      </c>
      <c r="F61" s="141">
        <v>11</v>
      </c>
      <c r="G61" s="142">
        <v>4</v>
      </c>
      <c r="H61" s="141">
        <f>(Table242325678[STOK])-(Table242325678[TERJUAL])</f>
        <v>7</v>
      </c>
      <c r="I61" s="143">
        <f>(Table242325678[HARGA JUAL]*Table242325678[TERJUAL])-(Table242325678[HARGA POKOK]*Table242325678[TERJUAL])</f>
        <v>90000</v>
      </c>
      <c r="J61" s="143">
        <f>(Table242325678[HARGA JUAL]*Table242325678[TERJUAL])</f>
        <v>160000</v>
      </c>
      <c r="K61" s="143">
        <f>Table242325678[HARGA JUAL]*Table242325678[SISA]</f>
        <v>280000</v>
      </c>
      <c r="L61" s="144">
        <f>Table242325678[HARGA POKOK]*Table242325678[STOK]</f>
        <v>192500</v>
      </c>
      <c r="M61" s="144">
        <f>Table242325678[HARGA JUAL]*Table242325678[STOK]</f>
        <v>440000</v>
      </c>
      <c r="N61" s="145"/>
      <c r="U61" s="1"/>
    </row>
    <row r="62" spans="1:21" x14ac:dyDescent="0.25">
      <c r="A62" s="137">
        <v>58</v>
      </c>
      <c r="B62" s="138" t="s">
        <v>144</v>
      </c>
      <c r="C62" s="138" t="s">
        <v>145</v>
      </c>
      <c r="D62" s="140">
        <v>3000</v>
      </c>
      <c r="E62" s="140">
        <v>6000</v>
      </c>
      <c r="F62" s="141">
        <v>90</v>
      </c>
      <c r="G62" s="142">
        <v>10</v>
      </c>
      <c r="H62" s="141">
        <f>(Table242325678[STOK])-(Table242325678[TERJUAL])</f>
        <v>80</v>
      </c>
      <c r="I62" s="143">
        <f>(Table242325678[HARGA JUAL]*Table242325678[TERJUAL])-(Table242325678[HARGA POKOK]*Table242325678[TERJUAL])</f>
        <v>30000</v>
      </c>
      <c r="J62" s="143">
        <f>(Table242325678[HARGA JUAL]*Table242325678[TERJUAL])</f>
        <v>60000</v>
      </c>
      <c r="K62" s="143">
        <f>Table242325678[HARGA JUAL]*Table242325678[SISA]</f>
        <v>480000</v>
      </c>
      <c r="L62" s="144">
        <f>Table242325678[HARGA POKOK]*Table242325678[STOK]</f>
        <v>270000</v>
      </c>
      <c r="M62" s="144">
        <f>Table242325678[HARGA JUAL]*Table242325678[STOK]</f>
        <v>540000</v>
      </c>
      <c r="N62" s="145"/>
    </row>
    <row r="63" spans="1:21" x14ac:dyDescent="0.25">
      <c r="A63" s="137">
        <v>59</v>
      </c>
      <c r="B63" s="138" t="s">
        <v>33</v>
      </c>
      <c r="C63" s="138" t="s">
        <v>188</v>
      </c>
      <c r="D63" s="140">
        <v>325000</v>
      </c>
      <c r="E63" s="140">
        <v>475000</v>
      </c>
      <c r="F63" s="141">
        <v>132</v>
      </c>
      <c r="G63" s="142">
        <v>13</v>
      </c>
      <c r="H63" s="141">
        <f>(Table242325678[STOK])-(Table242325678[TERJUAL])</f>
        <v>119</v>
      </c>
      <c r="I63" s="143">
        <f>(Table242325678[HARGA JUAL]*Table242325678[TERJUAL])-(Table242325678[HARGA POKOK]*Table242325678[TERJUAL])</f>
        <v>1950000</v>
      </c>
      <c r="J63" s="143">
        <f>(Table242325678[HARGA JUAL]*Table242325678[TERJUAL])</f>
        <v>6175000</v>
      </c>
      <c r="K63" s="143">
        <f>Table242325678[HARGA JUAL]*Table242325678[SISA]</f>
        <v>56525000</v>
      </c>
      <c r="L63" s="144">
        <f>Table242325678[HARGA POKOK]*Table242325678[STOK]</f>
        <v>42900000</v>
      </c>
      <c r="M63" s="144">
        <f>Table242325678[HARGA JUAL]*Table242325678[STOK]</f>
        <v>62700000</v>
      </c>
      <c r="N63" s="145"/>
    </row>
    <row r="64" spans="1:21" x14ac:dyDescent="0.25">
      <c r="A64" s="137">
        <v>60</v>
      </c>
      <c r="B64" s="138" t="s">
        <v>33</v>
      </c>
      <c r="C64" s="138" t="s">
        <v>189</v>
      </c>
      <c r="D64" s="140">
        <v>452000</v>
      </c>
      <c r="E64" s="140">
        <v>560000</v>
      </c>
      <c r="F64" s="141">
        <v>8</v>
      </c>
      <c r="G64" s="142">
        <v>1</v>
      </c>
      <c r="H64" s="141">
        <f>(Table242325678[STOK])-(Table242325678[TERJUAL])</f>
        <v>7</v>
      </c>
      <c r="I64" s="143">
        <f>(Table242325678[HARGA JUAL]*Table242325678[TERJUAL])-(Table242325678[HARGA POKOK]*Table242325678[TERJUAL])</f>
        <v>108000</v>
      </c>
      <c r="J64" s="143">
        <f>(Table242325678[HARGA JUAL]*Table242325678[TERJUAL])</f>
        <v>560000</v>
      </c>
      <c r="K64" s="143">
        <f>Table242325678[HARGA JUAL]*Table242325678[SISA]</f>
        <v>3920000</v>
      </c>
      <c r="L64" s="144">
        <f>Table242325678[HARGA POKOK]*Table242325678[STOK]</f>
        <v>3616000</v>
      </c>
      <c r="M64" s="144">
        <f>Table242325678[HARGA JUAL]*Table242325678[STOK]</f>
        <v>4480000</v>
      </c>
      <c r="N64" s="145"/>
    </row>
    <row r="65" spans="1:35" x14ac:dyDescent="0.25">
      <c r="A65" s="137">
        <v>61</v>
      </c>
      <c r="B65" s="138" t="s">
        <v>192</v>
      </c>
      <c r="C65" s="138" t="s">
        <v>142</v>
      </c>
      <c r="D65" s="140">
        <v>310000</v>
      </c>
      <c r="E65" s="140">
        <v>435000</v>
      </c>
      <c r="F65" s="141">
        <v>3</v>
      </c>
      <c r="G65" s="142"/>
      <c r="H65" s="141">
        <f>(Table242325678[STOK])-(Table242325678[TERJUAL])</f>
        <v>3</v>
      </c>
      <c r="I65" s="143">
        <f>(Table242325678[HARGA JUAL]*Table242325678[TERJUAL])-(Table242325678[HARGA POKOK]*Table242325678[TERJUAL])</f>
        <v>0</v>
      </c>
      <c r="J65" s="143">
        <f>(Table242325678[HARGA JUAL]*Table242325678[TERJUAL])</f>
        <v>0</v>
      </c>
      <c r="K65" s="143">
        <f>Table242325678[HARGA JUAL]*Table242325678[SISA]</f>
        <v>1305000</v>
      </c>
      <c r="L65" s="144">
        <f>Table242325678[HARGA POKOK]*Table242325678[STOK]</f>
        <v>930000</v>
      </c>
      <c r="M65" s="144">
        <f>Table242325678[HARGA JUAL]*Table242325678[STOK]</f>
        <v>1305000</v>
      </c>
      <c r="N65" s="145"/>
    </row>
    <row r="66" spans="1:35" x14ac:dyDescent="0.25">
      <c r="A66" s="137">
        <v>62</v>
      </c>
      <c r="B66" s="138" t="s">
        <v>192</v>
      </c>
      <c r="C66" s="138" t="s">
        <v>190</v>
      </c>
      <c r="D66" s="140">
        <v>280000</v>
      </c>
      <c r="E66" s="140">
        <v>475000</v>
      </c>
      <c r="F66" s="141">
        <v>1</v>
      </c>
      <c r="G66" s="142">
        <v>1</v>
      </c>
      <c r="H66" s="141">
        <f>(Table242325678[STOK])-(Table242325678[TERJUAL])</f>
        <v>0</v>
      </c>
      <c r="I66" s="143">
        <f>(Table242325678[HARGA JUAL]*Table242325678[TERJUAL])-(Table242325678[HARGA POKOK]*Table242325678[TERJUAL])</f>
        <v>195000</v>
      </c>
      <c r="J66" s="143">
        <f>(Table242325678[HARGA JUAL]*Table242325678[TERJUAL])</f>
        <v>475000</v>
      </c>
      <c r="K66" s="143">
        <f>Table242325678[HARGA JUAL]*Table242325678[SISA]</f>
        <v>0</v>
      </c>
      <c r="L66" s="144">
        <f>Table242325678[HARGA POKOK]*Table242325678[STOK]</f>
        <v>280000</v>
      </c>
      <c r="M66" s="144">
        <f>Table242325678[HARGA JUAL]*Table242325678[STOK]</f>
        <v>475000</v>
      </c>
      <c r="N66" s="145"/>
    </row>
    <row r="67" spans="1:35" x14ac:dyDescent="0.25">
      <c r="A67" s="137">
        <v>63</v>
      </c>
      <c r="B67" s="138" t="s">
        <v>193</v>
      </c>
      <c r="C67" s="138" t="s">
        <v>191</v>
      </c>
      <c r="D67" s="140">
        <v>8800</v>
      </c>
      <c r="E67" s="140">
        <v>15000</v>
      </c>
      <c r="F67" s="141">
        <v>40</v>
      </c>
      <c r="G67" s="142">
        <v>7</v>
      </c>
      <c r="H67" s="141">
        <f>(Table242325678[STOK])-(Table242325678[TERJUAL])</f>
        <v>33</v>
      </c>
      <c r="I67" s="143">
        <f>(Table242325678[HARGA JUAL]*Table242325678[TERJUAL])-(Table242325678[HARGA POKOK]*Table242325678[TERJUAL])</f>
        <v>43400</v>
      </c>
      <c r="J67" s="143">
        <f>(Table242325678[HARGA JUAL]*Table242325678[TERJUAL])</f>
        <v>105000</v>
      </c>
      <c r="K67" s="143">
        <f>Table242325678[HARGA JUAL]*Table242325678[SISA]</f>
        <v>495000</v>
      </c>
      <c r="L67" s="144">
        <f>Table242325678[HARGA POKOK]*Table242325678[STOK]</f>
        <v>352000</v>
      </c>
      <c r="M67" s="144">
        <f>Table242325678[HARGA JUAL]*Table242325678[STOK]</f>
        <v>600000</v>
      </c>
      <c r="N67" s="145"/>
    </row>
    <row r="68" spans="1:35" x14ac:dyDescent="0.25">
      <c r="A68" s="137">
        <v>64</v>
      </c>
      <c r="B68" s="138" t="s">
        <v>193</v>
      </c>
      <c r="C68" s="138" t="s">
        <v>214</v>
      </c>
      <c r="D68" s="140">
        <v>8700</v>
      </c>
      <c r="E68" s="140">
        <v>15000</v>
      </c>
      <c r="F68" s="141">
        <v>42</v>
      </c>
      <c r="G68" s="142">
        <v>11</v>
      </c>
      <c r="H68" s="141">
        <f>(Table242325678[STOK])-(Table242325678[TERJUAL])</f>
        <v>31</v>
      </c>
      <c r="I68" s="143">
        <f>(Table242325678[HARGA JUAL]*Table242325678[TERJUAL])-(Table242325678[HARGA POKOK]*Table242325678[TERJUAL])</f>
        <v>69300</v>
      </c>
      <c r="J68" s="143">
        <f>(Table242325678[HARGA JUAL]*Table242325678[TERJUAL])</f>
        <v>165000</v>
      </c>
      <c r="K68" s="143">
        <f>Table242325678[HARGA JUAL]*Table242325678[SISA]</f>
        <v>465000</v>
      </c>
      <c r="L68" s="144">
        <f>Table242325678[HARGA POKOK]*Table242325678[STOK]</f>
        <v>365400</v>
      </c>
      <c r="M68" s="144">
        <f>Table242325678[HARGA JUAL]*Table242325678[STOK]</f>
        <v>630000</v>
      </c>
      <c r="N68" s="145"/>
    </row>
    <row r="69" spans="1:35" x14ac:dyDescent="0.25">
      <c r="A69" s="137">
        <v>65</v>
      </c>
      <c r="B69" s="138" t="s">
        <v>206</v>
      </c>
      <c r="C69" s="138" t="s">
        <v>207</v>
      </c>
      <c r="D69" s="140">
        <v>12000</v>
      </c>
      <c r="E69" s="140">
        <v>28000</v>
      </c>
      <c r="F69" s="141">
        <v>10</v>
      </c>
      <c r="G69" s="142">
        <v>1</v>
      </c>
      <c r="H69" s="141">
        <f>(Table242325678[STOK])-(Table242325678[TERJUAL])</f>
        <v>9</v>
      </c>
      <c r="I69" s="143">
        <f>(Table242325678[HARGA JUAL]*Table242325678[TERJUAL])-(Table242325678[HARGA POKOK]*Table242325678[TERJUAL])</f>
        <v>16000</v>
      </c>
      <c r="J69" s="143">
        <f>(Table242325678[HARGA JUAL]*Table242325678[TERJUAL])</f>
        <v>28000</v>
      </c>
      <c r="K69" s="143">
        <f>Table242325678[HARGA JUAL]*Table242325678[SISA]</f>
        <v>252000</v>
      </c>
      <c r="L69" s="144">
        <f>Table242325678[HARGA POKOK]*Table242325678[STOK]</f>
        <v>120000</v>
      </c>
      <c r="M69" s="144">
        <f>Table242325678[HARGA JUAL]*Table242325678[STOK]</f>
        <v>280000</v>
      </c>
      <c r="N69" s="145"/>
    </row>
    <row r="70" spans="1:35" x14ac:dyDescent="0.25">
      <c r="A70" s="137">
        <v>66</v>
      </c>
      <c r="B70" s="138" t="s">
        <v>206</v>
      </c>
      <c r="C70" s="138" t="s">
        <v>208</v>
      </c>
      <c r="D70" s="140">
        <v>21000</v>
      </c>
      <c r="E70" s="140">
        <v>40000</v>
      </c>
      <c r="F70" s="141">
        <v>10</v>
      </c>
      <c r="G70" s="142"/>
      <c r="H70" s="141">
        <f>(Table242325678[STOK])-(Table242325678[TERJUAL])</f>
        <v>10</v>
      </c>
      <c r="I70" s="143">
        <f>(Table242325678[HARGA JUAL]*Table242325678[TERJUAL])-(Table242325678[HARGA POKOK]*Table242325678[TERJUAL])</f>
        <v>0</v>
      </c>
      <c r="J70" s="143">
        <f>(Table242325678[HARGA JUAL]*Table242325678[TERJUAL])</f>
        <v>0</v>
      </c>
      <c r="K70" s="143">
        <f>Table242325678[HARGA JUAL]*Table242325678[SISA]</f>
        <v>400000</v>
      </c>
      <c r="L70" s="144">
        <f>Table242325678[HARGA POKOK]*Table242325678[STOK]</f>
        <v>210000</v>
      </c>
      <c r="M70" s="144">
        <f>Table242325678[HARGA JUAL]*Table242325678[STOK]</f>
        <v>400000</v>
      </c>
      <c r="N70" s="145"/>
    </row>
    <row r="71" spans="1:35" x14ac:dyDescent="0.25">
      <c r="A71" s="137">
        <v>67</v>
      </c>
      <c r="B71" s="138" t="s">
        <v>209</v>
      </c>
      <c r="C71" s="138" t="s">
        <v>210</v>
      </c>
      <c r="D71" s="140">
        <v>20000</v>
      </c>
      <c r="E71" s="140">
        <v>40000</v>
      </c>
      <c r="F71" s="141">
        <v>10</v>
      </c>
      <c r="G71" s="142"/>
      <c r="H71" s="141">
        <f>(Table242325678[STOK])-(Table242325678[TERJUAL])</f>
        <v>10</v>
      </c>
      <c r="I71" s="143">
        <f>(Table242325678[HARGA JUAL]*Table242325678[TERJUAL])-(Table242325678[HARGA POKOK]*Table242325678[TERJUAL])</f>
        <v>0</v>
      </c>
      <c r="J71" s="143">
        <f>(Table242325678[HARGA JUAL]*Table242325678[TERJUAL])</f>
        <v>0</v>
      </c>
      <c r="K71" s="143">
        <f>Table242325678[HARGA JUAL]*Table242325678[SISA]</f>
        <v>400000</v>
      </c>
      <c r="L71" s="144">
        <f>Table242325678[HARGA POKOK]*Table242325678[STOK]</f>
        <v>200000</v>
      </c>
      <c r="M71" s="144">
        <f>Table242325678[HARGA JUAL]*Table242325678[STOK]</f>
        <v>400000</v>
      </c>
      <c r="N71" s="145"/>
    </row>
    <row r="72" spans="1:35" x14ac:dyDescent="0.25">
      <c r="A72" s="137">
        <v>68</v>
      </c>
      <c r="B72" s="138" t="s">
        <v>209</v>
      </c>
      <c r="C72" s="138" t="s">
        <v>211</v>
      </c>
      <c r="D72" s="140">
        <v>26000</v>
      </c>
      <c r="E72" s="140">
        <v>45000</v>
      </c>
      <c r="F72" s="141">
        <v>10</v>
      </c>
      <c r="G72" s="142"/>
      <c r="H72" s="141">
        <f>(Table242325678[STOK])-(Table242325678[TERJUAL])</f>
        <v>10</v>
      </c>
      <c r="I72" s="143">
        <f>(Table242325678[HARGA JUAL]*Table242325678[TERJUAL])-(Table242325678[HARGA POKOK]*Table242325678[TERJUAL])</f>
        <v>0</v>
      </c>
      <c r="J72" s="143">
        <f>(Table242325678[HARGA JUAL]*Table242325678[TERJUAL])</f>
        <v>0</v>
      </c>
      <c r="K72" s="143">
        <f>Table242325678[HARGA JUAL]*Table242325678[SISA]</f>
        <v>450000</v>
      </c>
      <c r="L72" s="144">
        <f>Table242325678[HARGA POKOK]*Table242325678[STOK]</f>
        <v>260000</v>
      </c>
      <c r="M72" s="144">
        <f>Table242325678[HARGA JUAL]*Table242325678[STOK]</f>
        <v>450000</v>
      </c>
      <c r="N72" s="145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</row>
    <row r="73" spans="1:35" x14ac:dyDescent="0.25">
      <c r="A73" s="137">
        <v>69</v>
      </c>
      <c r="B73" s="138" t="s">
        <v>212</v>
      </c>
      <c r="C73" s="138" t="s">
        <v>213</v>
      </c>
      <c r="D73" s="140">
        <v>600000</v>
      </c>
      <c r="E73" s="140">
        <v>800000</v>
      </c>
      <c r="F73" s="141">
        <v>3</v>
      </c>
      <c r="G73" s="142"/>
      <c r="H73" s="141">
        <f>(Table242325678[STOK])-(Table242325678[TERJUAL])</f>
        <v>3</v>
      </c>
      <c r="I73" s="143">
        <f>(Table242325678[HARGA JUAL]*Table242325678[TERJUAL])-(Table242325678[HARGA POKOK]*Table242325678[TERJUAL])</f>
        <v>0</v>
      </c>
      <c r="J73" s="143">
        <f>(Table242325678[HARGA JUAL]*Table242325678[TERJUAL])</f>
        <v>0</v>
      </c>
      <c r="K73" s="143">
        <f>Table242325678[HARGA JUAL]*Table242325678[SISA]</f>
        <v>2400000</v>
      </c>
      <c r="L73" s="144">
        <f>Table242325678[HARGA POKOK]*Table242325678[STOK]</f>
        <v>1800000</v>
      </c>
      <c r="M73" s="144">
        <f>Table242325678[HARGA JUAL]*Table242325678[STOK]</f>
        <v>2400000</v>
      </c>
      <c r="N73" s="145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1"/>
      <c r="AE73" s="201"/>
      <c r="AF73" s="201"/>
      <c r="AG73" s="201"/>
      <c r="AH73" s="201"/>
      <c r="AI73" s="201"/>
    </row>
    <row r="74" spans="1:35" s="200" customFormat="1" x14ac:dyDescent="0.25">
      <c r="A74" s="192">
        <v>70</v>
      </c>
      <c r="B74" s="193" t="s">
        <v>194</v>
      </c>
      <c r="C74" s="193" t="s">
        <v>194</v>
      </c>
      <c r="D74" s="194">
        <v>30000</v>
      </c>
      <c r="E74" s="194">
        <v>40000</v>
      </c>
      <c r="F74" s="195">
        <v>15</v>
      </c>
      <c r="G74" s="196">
        <v>2</v>
      </c>
      <c r="H74" s="195">
        <f>(Table242325678[STOK])-(Table242325678[TERJUAL])</f>
        <v>13</v>
      </c>
      <c r="I74" s="197">
        <f>(Table242325678[HARGA JUAL]*Table242325678[TERJUAL])-(Table242325678[HARGA POKOK]*Table242325678[TERJUAL])</f>
        <v>20000</v>
      </c>
      <c r="J74" s="197">
        <f>(Table242325678[HARGA JUAL]*Table242325678[TERJUAL])</f>
        <v>80000</v>
      </c>
      <c r="K74" s="197"/>
      <c r="L74" s="198"/>
      <c r="M74" s="198"/>
      <c r="N74" s="199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1"/>
      <c r="AE74" s="201"/>
      <c r="AF74" s="201"/>
      <c r="AG74" s="201"/>
      <c r="AH74" s="201"/>
      <c r="AI74" s="201"/>
    </row>
    <row r="75" spans="1:35" x14ac:dyDescent="0.25">
      <c r="A75" s="137">
        <v>71</v>
      </c>
      <c r="B75" s="146" t="s">
        <v>195</v>
      </c>
      <c r="C75" s="146" t="s">
        <v>195</v>
      </c>
      <c r="D75" s="147">
        <v>30000</v>
      </c>
      <c r="E75" s="147">
        <v>40000</v>
      </c>
      <c r="F75" s="148">
        <v>15</v>
      </c>
      <c r="G75" s="149">
        <v>2</v>
      </c>
      <c r="H75" s="148">
        <f>(Table242325678[STOK])-(Table242325678[TERJUAL])</f>
        <v>13</v>
      </c>
      <c r="I75" s="150">
        <f>(Table242325678[HARGA JUAL]*Table242325678[TERJUAL])-(Table242325678[HARGA POKOK]*Table242325678[TERJUAL])</f>
        <v>20000</v>
      </c>
      <c r="J75" s="150">
        <f>(Table242325678[HARGA JUAL]*Table242325678[TERJUAL])</f>
        <v>80000</v>
      </c>
      <c r="K75" s="150">
        <f>Table242325678[HARGA JUAL]*Table242325678[SISA]</f>
        <v>520000</v>
      </c>
      <c r="L75" s="151">
        <f>Table242325678[HARGA POKOK]*Table242325678[STOK]</f>
        <v>450000</v>
      </c>
      <c r="M75" s="151">
        <f>Table242325678[HARGA JUAL]*Table242325678[STOK]</f>
        <v>600000</v>
      </c>
      <c r="N75" s="15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1"/>
      <c r="AE75" s="201"/>
      <c r="AF75" s="201"/>
      <c r="AG75" s="201"/>
      <c r="AH75" s="201"/>
      <c r="AI75" s="201"/>
    </row>
    <row r="76" spans="1:35" s="200" customFormat="1" x14ac:dyDescent="0.25">
      <c r="A76" s="192">
        <v>72</v>
      </c>
      <c r="B76" s="193" t="s">
        <v>215</v>
      </c>
      <c r="C76" s="193" t="s">
        <v>215</v>
      </c>
      <c r="D76" s="194">
        <v>310000</v>
      </c>
      <c r="E76" s="194">
        <v>410000</v>
      </c>
      <c r="F76" s="195">
        <v>8</v>
      </c>
      <c r="G76" s="196">
        <v>3</v>
      </c>
      <c r="H76" s="195">
        <f>(Table242325678[STOK])-(Table242325678[TERJUAL])</f>
        <v>5</v>
      </c>
      <c r="I76" s="197">
        <f>(Table242325678[HARGA JUAL]*Table242325678[TERJUAL])-(Table242325678[HARGA POKOK]*Table242325678[TERJUAL])</f>
        <v>300000</v>
      </c>
      <c r="J76" s="197">
        <f>(Table242325678[HARGA JUAL]*Table242325678[TERJUAL])</f>
        <v>1230000</v>
      </c>
      <c r="K76" s="197">
        <f>Table242325678[HARGA JUAL]*Table242325678[SISA]</f>
        <v>2050000</v>
      </c>
      <c r="L76" s="198">
        <f>Table242325678[HARGA POKOK]*Table242325678[STOK]</f>
        <v>2480000</v>
      </c>
      <c r="M76" s="198">
        <f>Table242325678[HARGA JUAL]*Table242325678[STOK]</f>
        <v>3280000</v>
      </c>
      <c r="N76" s="199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1"/>
      <c r="AE76" s="201"/>
      <c r="AF76" s="201"/>
      <c r="AG76" s="201"/>
      <c r="AH76" s="201"/>
      <c r="AI76" s="201"/>
    </row>
    <row r="77" spans="1:35" s="180" customFormat="1" x14ac:dyDescent="0.25">
      <c r="A77" s="137">
        <v>73</v>
      </c>
      <c r="B77" s="153" t="s">
        <v>212</v>
      </c>
      <c r="C77" s="153" t="s">
        <v>213</v>
      </c>
      <c r="D77" s="154">
        <v>6000</v>
      </c>
      <c r="E77" s="154">
        <v>8000</v>
      </c>
      <c r="F77" s="155">
        <v>100</v>
      </c>
      <c r="G77" s="178"/>
      <c r="H77" s="155">
        <f>(Table242325678[STOK])-(Table242325678[TERJUAL])</f>
        <v>100</v>
      </c>
      <c r="I77" s="157">
        <f>(Table242325678[HARGA JUAL]*Table242325678[TERJUAL])-(Table242325678[HARGA POKOK]*Table242325678[TERJUAL])</f>
        <v>0</v>
      </c>
      <c r="J77" s="157">
        <f>(Table242325678[HARGA JUAL]*Table242325678[TERJUAL])</f>
        <v>0</v>
      </c>
      <c r="K77" s="157">
        <f>Table242325678[HARGA JUAL]*Table242325678[SISA]</f>
        <v>800000</v>
      </c>
      <c r="L77" s="158">
        <f>Table242325678[HARGA POKOK]*Table242325678[STOK]</f>
        <v>600000</v>
      </c>
      <c r="M77" s="158">
        <f>Table242325678[HARGA JUAL]*Table242325678[STOK]</f>
        <v>800000</v>
      </c>
      <c r="N77" s="179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</row>
    <row r="78" spans="1:35" s="180" customFormat="1" x14ac:dyDescent="0.25">
      <c r="A78" s="137">
        <v>74</v>
      </c>
      <c r="B78" s="153" t="s">
        <v>71</v>
      </c>
      <c r="C78" s="153" t="s">
        <v>194</v>
      </c>
      <c r="D78" s="154">
        <v>1200</v>
      </c>
      <c r="E78" s="154">
        <v>2000</v>
      </c>
      <c r="F78" s="155"/>
      <c r="G78" s="156">
        <v>23</v>
      </c>
      <c r="H78" s="155">
        <f>(Table242325678[STOK])-(Table242325678[TERJUAL])</f>
        <v>-23</v>
      </c>
      <c r="I78" s="157">
        <f>(Table242325678[HARGA JUAL]*Table242325678[TERJUAL])-(Table242325678[HARGA POKOK]*Table242325678[TERJUAL])</f>
        <v>18400</v>
      </c>
      <c r="J78" s="157">
        <f>(Table242325678[HARGA JUAL]*Table242325678[TERJUAL])</f>
        <v>46000</v>
      </c>
      <c r="K78" s="157"/>
      <c r="L78" s="158"/>
      <c r="M78" s="158"/>
      <c r="N78" s="179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</row>
    <row r="79" spans="1:35" s="180" customFormat="1" x14ac:dyDescent="0.25">
      <c r="A79" s="137">
        <v>75</v>
      </c>
      <c r="B79" s="153" t="s">
        <v>71</v>
      </c>
      <c r="C79" s="153" t="s">
        <v>195</v>
      </c>
      <c r="D79" s="154">
        <v>700</v>
      </c>
      <c r="E79" s="154">
        <v>1200</v>
      </c>
      <c r="F79" s="155"/>
      <c r="G79" s="156">
        <v>6</v>
      </c>
      <c r="H79" s="155">
        <f>(Table242325678[STOK])-(Table242325678[TERJUAL])</f>
        <v>-6</v>
      </c>
      <c r="I79" s="157">
        <f>(Table242325678[HARGA JUAL]*Table242325678[TERJUAL])-(Table242325678[HARGA POKOK]*Table242325678[TERJUAL])</f>
        <v>3000</v>
      </c>
      <c r="J79" s="157">
        <f>(Table242325678[HARGA JUAL]*Table242325678[TERJUAL])</f>
        <v>7200</v>
      </c>
      <c r="K79" s="157">
        <f>Table242325678[HARGA JUAL]*Table242325678[SISA]</f>
        <v>-7200</v>
      </c>
      <c r="L79" s="158">
        <f>Table242325678[HARGA POKOK]*Table242325678[STOK]</f>
        <v>0</v>
      </c>
      <c r="M79" s="158">
        <f>Table242325678[HARGA JUAL]*Table242325678[STOK]</f>
        <v>0</v>
      </c>
      <c r="N79" s="179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</row>
    <row r="80" spans="1:35" s="180" customFormat="1" x14ac:dyDescent="0.25">
      <c r="A80" s="137">
        <v>76</v>
      </c>
      <c r="B80" s="153" t="s">
        <v>68</v>
      </c>
      <c r="C80" s="153" t="s">
        <v>69</v>
      </c>
      <c r="D80" s="159">
        <v>6300</v>
      </c>
      <c r="E80" s="154">
        <v>10000</v>
      </c>
      <c r="F80" s="155"/>
      <c r="G80" s="156">
        <v>1107.5</v>
      </c>
      <c r="H80" s="155">
        <f>(Table242325678[STOK])-(Table242325678[TERJUAL])</f>
        <v>-1107.5</v>
      </c>
      <c r="I80" s="157">
        <f>(Table242325678[HARGA JUAL]*Table242325678[TERJUAL])-(Table242325678[HARGA POKOK]*Table242325678[TERJUAL])</f>
        <v>4097750</v>
      </c>
      <c r="J80" s="157">
        <f>(Table242325678[HARGA JUAL]*Table242325678[TERJUAL])</f>
        <v>11075000</v>
      </c>
      <c r="K80" s="157"/>
      <c r="L80" s="158"/>
      <c r="M80" s="158"/>
      <c r="N80" s="179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</row>
    <row r="81" spans="1:29" s="180" customFormat="1" x14ac:dyDescent="0.25">
      <c r="A81" s="137">
        <v>77</v>
      </c>
      <c r="B81" s="153" t="s">
        <v>173</v>
      </c>
      <c r="C81" s="153" t="s">
        <v>174</v>
      </c>
      <c r="D81" s="159">
        <v>9040</v>
      </c>
      <c r="E81" s="154">
        <v>12000</v>
      </c>
      <c r="F81" s="155"/>
      <c r="G81" s="156">
        <v>18</v>
      </c>
      <c r="H81" s="155">
        <f>(Table242325678[STOK])-(Table242325678[TERJUAL])</f>
        <v>-18</v>
      </c>
      <c r="I81" s="157">
        <f>(Table242325678[HARGA JUAL]*Table242325678[TERJUAL])-(Table242325678[HARGA POKOK]*Table242325678[TERJUAL])</f>
        <v>53280</v>
      </c>
      <c r="J81" s="157">
        <f>(Table242325678[HARGA JUAL]*Table242325678[TERJUAL])</f>
        <v>216000</v>
      </c>
      <c r="K81" s="157">
        <f>Table242325678[HARGA JUAL]*Table242325678[SISA]</f>
        <v>-216000</v>
      </c>
      <c r="L81" s="158">
        <f>Table242325678[HARGA POKOK]*Table242325678[STOK]</f>
        <v>0</v>
      </c>
      <c r="M81" s="158">
        <f>Table242325678[HARGA JUAL]*Table242325678[STOK]</f>
        <v>0</v>
      </c>
      <c r="N81" s="179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</row>
    <row r="82" spans="1:29" s="180" customFormat="1" x14ac:dyDescent="0.25">
      <c r="A82" s="137">
        <v>78</v>
      </c>
      <c r="B82" s="153" t="s">
        <v>146</v>
      </c>
      <c r="C82" s="153" t="s">
        <v>152</v>
      </c>
      <c r="D82" s="159">
        <v>6200</v>
      </c>
      <c r="E82" s="154">
        <v>10000</v>
      </c>
      <c r="F82" s="155"/>
      <c r="G82" s="160" t="s">
        <v>156</v>
      </c>
      <c r="H82" s="155">
        <f>(Table242325678[STOK])-(Table242325678[TERJUAL])</f>
        <v>-13</v>
      </c>
      <c r="I82" s="157">
        <f>(Table242325678[HARGA JUAL]*Table242325678[TERJUAL])-(Table242325678[HARGA POKOK]*Table242325678[TERJUAL])</f>
        <v>49400</v>
      </c>
      <c r="J82" s="157">
        <f>(Table242325678[HARGA JUAL]*Table242325678[TERJUAL])</f>
        <v>130000</v>
      </c>
      <c r="K82" s="157"/>
      <c r="L82" s="158"/>
      <c r="M82" s="158"/>
      <c r="N82" s="179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</row>
    <row r="83" spans="1:29" s="180" customFormat="1" x14ac:dyDescent="0.25">
      <c r="A83" s="137">
        <v>79</v>
      </c>
      <c r="B83" s="153" t="s">
        <v>147</v>
      </c>
      <c r="C83" s="153" t="s">
        <v>153</v>
      </c>
      <c r="D83" s="159">
        <v>5600</v>
      </c>
      <c r="E83" s="154">
        <v>10000</v>
      </c>
      <c r="F83" s="155"/>
      <c r="G83" s="160" t="s">
        <v>216</v>
      </c>
      <c r="H83" s="155">
        <f>(Table242325678[STOK])-(Table242325678[TERJUAL])</f>
        <v>-69</v>
      </c>
      <c r="I83" s="157">
        <f>(Table242325678[HARGA JUAL]*Table242325678[TERJUAL])-(Table242325678[HARGA POKOK]*Table242325678[TERJUAL])</f>
        <v>303600</v>
      </c>
      <c r="J83" s="157">
        <f>(Table242325678[HARGA JUAL]*Table242325678[TERJUAL])</f>
        <v>690000</v>
      </c>
      <c r="K83" s="157"/>
      <c r="L83" s="158"/>
      <c r="M83" s="158"/>
      <c r="N83" s="179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</row>
    <row r="84" spans="1:29" s="180" customFormat="1" x14ac:dyDescent="0.25">
      <c r="A84" s="137">
        <v>80</v>
      </c>
      <c r="B84" s="167" t="s">
        <v>204</v>
      </c>
      <c r="C84" s="167" t="s">
        <v>205</v>
      </c>
      <c r="D84" s="168">
        <v>13000</v>
      </c>
      <c r="E84" s="169">
        <v>15000</v>
      </c>
      <c r="F84" s="170">
        <v>97</v>
      </c>
      <c r="G84" s="171">
        <v>97</v>
      </c>
      <c r="H84" s="172">
        <f>(Table242325678[STOK])-(Table242325678[TERJUAL])</f>
        <v>0</v>
      </c>
      <c r="I84" s="173">
        <f>(Table242325678[HARGA JUAL]*Table242325678[TERJUAL])-(Table242325678[HARGA POKOK]*Table242325678[TERJUAL])</f>
        <v>194000</v>
      </c>
      <c r="J84" s="173">
        <f>(Table242325678[HARGA JUAL]*Table242325678[TERJUAL])</f>
        <v>1455000</v>
      </c>
      <c r="K84" s="173">
        <f>Table242325678[HARGA JUAL]*Table242325678[SISA]</f>
        <v>0</v>
      </c>
      <c r="L84" s="174">
        <f>Table242325678[HARGA POKOK]*Table242325678[STOK]</f>
        <v>1261000</v>
      </c>
      <c r="M84" s="174">
        <f>Table242325678[HARGA JUAL]*Table242325678[STOK]</f>
        <v>1455000</v>
      </c>
      <c r="N84" s="181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</row>
    <row r="85" spans="1:29" ht="18.75" x14ac:dyDescent="0.25">
      <c r="A85" s="404" t="s">
        <v>8</v>
      </c>
      <c r="B85" s="404"/>
      <c r="C85" s="404"/>
      <c r="D85" s="404"/>
      <c r="E85" s="404"/>
      <c r="F85" s="39"/>
      <c r="G85" s="39"/>
      <c r="H85" s="40"/>
      <c r="I85" s="175">
        <f>SUM(I5:I84)</f>
        <v>12364030</v>
      </c>
      <c r="J85" s="176">
        <f>SUM(J5:J84)</f>
        <v>43213200</v>
      </c>
      <c r="K85" s="41">
        <f>SUBTOTAL(109,Table242325678[TOTAL HARGA SISA BARANG])</f>
        <v>235803800</v>
      </c>
      <c r="L85" s="177">
        <f>SUM(L5:L84)</f>
        <v>195963300</v>
      </c>
      <c r="M85" s="42">
        <f>SUM(M5:M67)</f>
        <v>256301000</v>
      </c>
      <c r="N85" s="145"/>
    </row>
    <row r="86" spans="1:29" x14ac:dyDescent="0.25">
      <c r="B86" s="1"/>
      <c r="C86" s="3"/>
      <c r="G86" s="1"/>
      <c r="H86" s="11"/>
      <c r="I86" s="6"/>
      <c r="J86" s="6"/>
      <c r="K86" s="6"/>
      <c r="L86" s="1"/>
      <c r="M86" s="1"/>
    </row>
    <row r="87" spans="1:29" x14ac:dyDescent="0.25">
      <c r="A87" s="28"/>
      <c r="B87" s="28"/>
      <c r="C87" s="28"/>
      <c r="E87" s="386" t="s">
        <v>219</v>
      </c>
      <c r="F87" s="386"/>
      <c r="G87" s="386"/>
      <c r="H87" s="386"/>
      <c r="I87" s="386"/>
      <c r="J87" s="386"/>
      <c r="K87" s="130"/>
      <c r="L87" s="1"/>
      <c r="M87" s="1"/>
    </row>
    <row r="88" spans="1:29" x14ac:dyDescent="0.25">
      <c r="A88" s="162" t="s">
        <v>217</v>
      </c>
      <c r="B88" s="162"/>
      <c r="C88" s="162"/>
      <c r="D88" s="163"/>
      <c r="E88" s="161"/>
      <c r="F88" s="161"/>
      <c r="G88" s="387"/>
      <c r="H88" s="387"/>
      <c r="I88" s="28"/>
      <c r="J88" s="28"/>
      <c r="K88" s="28"/>
      <c r="L88" s="7"/>
    </row>
    <row r="89" spans="1:29" x14ac:dyDescent="0.25">
      <c r="A89" s="162" t="s">
        <v>218</v>
      </c>
      <c r="B89" s="162"/>
      <c r="C89" s="162"/>
      <c r="D89" s="163"/>
      <c r="E89" s="161"/>
      <c r="F89" s="161"/>
      <c r="G89" s="94"/>
      <c r="H89" s="94"/>
      <c r="I89" s="28"/>
      <c r="J89" s="28"/>
      <c r="K89" s="28"/>
      <c r="L89" s="28"/>
    </row>
    <row r="90" spans="1:29" x14ac:dyDescent="0.25">
      <c r="A90" s="162" t="s">
        <v>196</v>
      </c>
      <c r="B90" s="162"/>
      <c r="C90" s="162"/>
      <c r="D90" s="164"/>
      <c r="E90" s="28"/>
      <c r="F90" s="28"/>
      <c r="G90" s="28"/>
      <c r="H90" s="28"/>
      <c r="I90" s="28"/>
      <c r="J90" s="28"/>
      <c r="K90" s="28"/>
      <c r="L90" s="28"/>
      <c r="M90" s="7"/>
    </row>
    <row r="91" spans="1:29" x14ac:dyDescent="0.25">
      <c r="A91" s="165" t="s">
        <v>225</v>
      </c>
      <c r="B91" s="162"/>
      <c r="C91" s="162"/>
      <c r="D91" s="164"/>
      <c r="E91" s="28"/>
      <c r="F91" s="28"/>
      <c r="G91" s="28"/>
      <c r="H91" s="28"/>
      <c r="I91" s="28"/>
      <c r="J91" s="28"/>
      <c r="K91" s="28"/>
      <c r="L91" s="28"/>
      <c r="M91" s="1"/>
    </row>
    <row r="92" spans="1:29" x14ac:dyDescent="0.25">
      <c r="A92" s="165" t="s">
        <v>197</v>
      </c>
      <c r="B92" s="166"/>
      <c r="C92" s="166"/>
      <c r="D92" s="164"/>
      <c r="E92" s="28"/>
      <c r="F92" s="28"/>
      <c r="G92" s="28"/>
      <c r="H92" s="28"/>
      <c r="I92" s="28"/>
      <c r="J92" s="28"/>
      <c r="K92" s="28"/>
      <c r="L92" s="28"/>
      <c r="M92" s="1"/>
    </row>
    <row r="93" spans="1:29" x14ac:dyDescent="0.25">
      <c r="A93" s="28"/>
      <c r="B93" s="28"/>
      <c r="C93" s="28"/>
      <c r="E93" s="43" t="s">
        <v>82</v>
      </c>
      <c r="F93" s="44"/>
      <c r="G93" s="390">
        <f>SUBTOTAL(109,Table242325678[TOTAL H. B. LAKU TERJUAL])</f>
        <v>43213200</v>
      </c>
      <c r="H93" s="390"/>
      <c r="I93" s="390"/>
      <c r="J93" s="43"/>
      <c r="K93" s="7"/>
      <c r="L93" s="27"/>
      <c r="M93" s="1"/>
    </row>
    <row r="94" spans="1:29" x14ac:dyDescent="0.25">
      <c r="A94" s="165" t="s">
        <v>198</v>
      </c>
      <c r="B94" s="28"/>
      <c r="C94" s="28"/>
      <c r="E94" s="43" t="s">
        <v>83</v>
      </c>
      <c r="F94" s="45" t="s">
        <v>84</v>
      </c>
      <c r="G94" s="391">
        <v>122000</v>
      </c>
      <c r="H94" s="391"/>
      <c r="I94" s="391"/>
      <c r="J94" s="43"/>
      <c r="K94" s="7"/>
      <c r="L94" s="27"/>
      <c r="M94" s="1"/>
    </row>
    <row r="95" spans="1:29" x14ac:dyDescent="0.25">
      <c r="A95" s="165" t="s">
        <v>199</v>
      </c>
      <c r="B95" s="1"/>
      <c r="C95" s="3"/>
      <c r="E95" s="43" t="s">
        <v>8</v>
      </c>
      <c r="F95" s="43"/>
      <c r="G95" s="392">
        <f>(G93-G94)</f>
        <v>43091200</v>
      </c>
      <c r="H95" s="392"/>
      <c r="I95" s="392"/>
      <c r="J95" s="43"/>
      <c r="K95" s="7"/>
      <c r="L95" s="27"/>
      <c r="M95" s="1"/>
    </row>
    <row r="96" spans="1:29" x14ac:dyDescent="0.25">
      <c r="A96" s="165" t="s">
        <v>200</v>
      </c>
      <c r="M96" s="1"/>
    </row>
    <row r="97" spans="1:13" x14ac:dyDescent="0.25">
      <c r="A97" s="165"/>
      <c r="M97" s="1"/>
    </row>
    <row r="98" spans="1:13" ht="18.75" x14ac:dyDescent="0.3">
      <c r="A98" s="360" t="s">
        <v>99</v>
      </c>
      <c r="B98" s="360"/>
      <c r="C98" s="360"/>
      <c r="D98" s="360"/>
    </row>
    <row r="99" spans="1:13" ht="18.75" x14ac:dyDescent="0.3">
      <c r="A99" s="360" t="s">
        <v>226</v>
      </c>
      <c r="B99" s="360"/>
      <c r="C99" s="360"/>
      <c r="D99" s="360"/>
    </row>
    <row r="100" spans="1:13" ht="18.75" x14ac:dyDescent="0.3">
      <c r="A100" s="360" t="s">
        <v>75</v>
      </c>
      <c r="B100" s="360"/>
      <c r="C100" s="360"/>
      <c r="D100" s="360"/>
    </row>
    <row r="101" spans="1:13" x14ac:dyDescent="0.25">
      <c r="E101" s="386" t="s">
        <v>227</v>
      </c>
      <c r="F101" s="386"/>
      <c r="G101" s="386"/>
      <c r="H101" s="386"/>
      <c r="I101" s="386"/>
    </row>
    <row r="102" spans="1:13" ht="15.75" x14ac:dyDescent="0.25">
      <c r="A102" s="356" t="s">
        <v>111</v>
      </c>
      <c r="B102" s="357"/>
      <c r="C102" s="356" t="s">
        <v>77</v>
      </c>
      <c r="D102" s="357"/>
      <c r="F102" s="185">
        <v>1</v>
      </c>
      <c r="G102" s="145" t="s">
        <v>220</v>
      </c>
      <c r="H102" s="145"/>
      <c r="I102" s="184">
        <v>125000000</v>
      </c>
    </row>
    <row r="103" spans="1:13" ht="15.75" x14ac:dyDescent="0.25">
      <c r="A103" s="128" t="s">
        <v>103</v>
      </c>
      <c r="B103" s="129"/>
      <c r="C103" s="46"/>
      <c r="D103" s="182">
        <v>43091200</v>
      </c>
      <c r="F103" s="185">
        <v>2</v>
      </c>
      <c r="G103" s="145" t="s">
        <v>221</v>
      </c>
      <c r="H103" s="145"/>
      <c r="I103" s="184">
        <v>143935000</v>
      </c>
    </row>
    <row r="104" spans="1:13" ht="15.75" x14ac:dyDescent="0.25">
      <c r="A104" s="354" t="s">
        <v>102</v>
      </c>
      <c r="B104" s="355"/>
      <c r="C104" s="46"/>
      <c r="D104" s="46"/>
      <c r="F104" s="185">
        <v>3</v>
      </c>
      <c r="G104" s="145" t="s">
        <v>222</v>
      </c>
      <c r="H104" s="145"/>
      <c r="I104" s="184">
        <v>9850000</v>
      </c>
    </row>
    <row r="105" spans="1:13" ht="15.75" x14ac:dyDescent="0.25">
      <c r="A105" s="356" t="s">
        <v>104</v>
      </c>
      <c r="B105" s="357"/>
      <c r="C105" s="46"/>
      <c r="D105" s="182">
        <v>43091200</v>
      </c>
      <c r="F105" s="185">
        <v>4</v>
      </c>
      <c r="G105" s="145" t="s">
        <v>223</v>
      </c>
      <c r="H105" s="145"/>
      <c r="I105" s="184">
        <v>1570000</v>
      </c>
    </row>
    <row r="106" spans="1:13" ht="15.75" x14ac:dyDescent="0.25">
      <c r="A106" s="350" t="s">
        <v>106</v>
      </c>
      <c r="B106" s="351"/>
      <c r="C106" s="46"/>
      <c r="D106" s="46">
        <v>30727170</v>
      </c>
      <c r="F106" s="185">
        <v>5</v>
      </c>
      <c r="G106" s="145" t="s">
        <v>224</v>
      </c>
      <c r="H106" s="145"/>
      <c r="I106" s="184">
        <v>300000</v>
      </c>
    </row>
    <row r="107" spans="1:13" ht="15.75" x14ac:dyDescent="0.25">
      <c r="A107" s="358" t="s">
        <v>161</v>
      </c>
      <c r="B107" s="359"/>
      <c r="C107" s="49"/>
      <c r="D107" s="50">
        <f>(D105-D106)</f>
        <v>12364030</v>
      </c>
    </row>
    <row r="108" spans="1:13" ht="15.75" x14ac:dyDescent="0.25">
      <c r="A108" s="358" t="s">
        <v>158</v>
      </c>
      <c r="B108" s="359"/>
      <c r="C108" s="49"/>
      <c r="D108" s="175">
        <v>84500</v>
      </c>
    </row>
    <row r="109" spans="1:13" ht="15.75" x14ac:dyDescent="0.25">
      <c r="A109" s="400" t="s">
        <v>162</v>
      </c>
      <c r="B109" s="401"/>
      <c r="C109" s="49"/>
      <c r="D109" s="50">
        <f>SUM(D107:D108)</f>
        <v>12448530</v>
      </c>
      <c r="I109" s="186"/>
      <c r="L109" s="183"/>
    </row>
    <row r="110" spans="1:13" ht="15.75" x14ac:dyDescent="0.25">
      <c r="A110" s="346" t="s">
        <v>105</v>
      </c>
      <c r="B110" s="347"/>
      <c r="C110" s="46"/>
      <c r="D110" s="54"/>
      <c r="I110" s="186"/>
      <c r="L110" s="183"/>
    </row>
    <row r="111" spans="1:13" ht="15.75" x14ac:dyDescent="0.25">
      <c r="A111" s="348" t="s">
        <v>97</v>
      </c>
      <c r="B111" s="349"/>
      <c r="C111" s="46">
        <v>2000000</v>
      </c>
      <c r="D111" s="46"/>
      <c r="I111" s="187"/>
      <c r="L111" s="183"/>
    </row>
    <row r="112" spans="1:13" ht="15.75" x14ac:dyDescent="0.25">
      <c r="A112" s="350" t="s">
        <v>98</v>
      </c>
      <c r="B112" s="351"/>
      <c r="C112" s="46">
        <v>432000</v>
      </c>
      <c r="D112" s="46"/>
      <c r="L112" s="183"/>
    </row>
    <row r="113" spans="1:4" ht="15.75" x14ac:dyDescent="0.25">
      <c r="A113" s="113" t="s">
        <v>159</v>
      </c>
      <c r="B113" s="113"/>
      <c r="C113" s="114">
        <v>1750000</v>
      </c>
      <c r="D113" s="115"/>
    </row>
    <row r="114" spans="1:4" ht="15.75" x14ac:dyDescent="0.25">
      <c r="A114" s="113" t="s">
        <v>228</v>
      </c>
      <c r="B114" s="113"/>
      <c r="C114" s="114">
        <v>314000</v>
      </c>
      <c r="D114" s="115"/>
    </row>
    <row r="115" spans="1:4" ht="15.75" x14ac:dyDescent="0.25">
      <c r="A115" s="352" t="s">
        <v>107</v>
      </c>
      <c r="B115" s="353"/>
      <c r="C115" s="51" t="s">
        <v>117</v>
      </c>
      <c r="D115" s="47">
        <f>SUM(C111:C114)</f>
        <v>4496000</v>
      </c>
    </row>
    <row r="116" spans="1:4" ht="15.75" x14ac:dyDescent="0.25">
      <c r="A116" s="344" t="s">
        <v>108</v>
      </c>
      <c r="B116" s="345"/>
      <c r="C116" s="51"/>
      <c r="D116" s="51"/>
    </row>
    <row r="117" spans="1:4" ht="15.75" x14ac:dyDescent="0.25">
      <c r="A117" s="346" t="s">
        <v>109</v>
      </c>
      <c r="B117" s="347"/>
      <c r="C117" s="48"/>
      <c r="D117" s="50">
        <f>(D109-D115)</f>
        <v>7952530</v>
      </c>
    </row>
  </sheetData>
  <mergeCells count="26">
    <mergeCell ref="A1:N1"/>
    <mergeCell ref="A2:N2"/>
    <mergeCell ref="A85:E85"/>
    <mergeCell ref="E87:J87"/>
    <mergeCell ref="G88:H88"/>
    <mergeCell ref="A107:B107"/>
    <mergeCell ref="G93:I93"/>
    <mergeCell ref="G94:I94"/>
    <mergeCell ref="G95:I95"/>
    <mergeCell ref="A98:D98"/>
    <mergeCell ref="A99:D99"/>
    <mergeCell ref="A100:D100"/>
    <mergeCell ref="A102:B102"/>
    <mergeCell ref="C102:D102"/>
    <mergeCell ref="A104:B104"/>
    <mergeCell ref="A105:B105"/>
    <mergeCell ref="A106:B106"/>
    <mergeCell ref="E101:I101"/>
    <mergeCell ref="A116:B116"/>
    <mergeCell ref="A117:B117"/>
    <mergeCell ref="A108:B108"/>
    <mergeCell ref="A109:B109"/>
    <mergeCell ref="A110:B110"/>
    <mergeCell ref="A111:B111"/>
    <mergeCell ref="A112:B112"/>
    <mergeCell ref="A115:B115"/>
  </mergeCells>
  <pageMargins left="0.9055118110236221" right="0.31496062992125984" top="0.74803149606299213" bottom="0.55118110236220474" header="0.31496062992125984" footer="0.31496062992125984"/>
  <pageSetup paperSize="256" scale="55" fitToWidth="0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5"/>
  <sheetViews>
    <sheetView topLeftCell="A61" workbookViewId="0">
      <selection activeCell="F46" sqref="F46"/>
    </sheetView>
  </sheetViews>
  <sheetFormatPr defaultRowHeight="15" x14ac:dyDescent="0.25"/>
  <cols>
    <col min="1" max="1" width="9.140625" customWidth="1"/>
    <col min="2" max="2" width="23.42578125" customWidth="1"/>
    <col min="3" max="3" width="28" customWidth="1"/>
    <col min="4" max="4" width="18.5703125" customWidth="1"/>
    <col min="5" max="5" width="15.42578125" customWidth="1"/>
    <col min="6" max="6" width="10.85546875" customWidth="1"/>
    <col min="7" max="7" width="13.7109375" customWidth="1"/>
    <col min="8" max="8" width="8.8554687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229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131" t="s">
        <v>0</v>
      </c>
      <c r="B4" s="132" t="s">
        <v>1</v>
      </c>
      <c r="C4" s="133" t="s">
        <v>2</v>
      </c>
      <c r="D4" s="132" t="s">
        <v>119</v>
      </c>
      <c r="E4" s="132" t="s">
        <v>3</v>
      </c>
      <c r="F4" s="134" t="s">
        <v>4</v>
      </c>
      <c r="G4" s="134" t="s">
        <v>5</v>
      </c>
      <c r="H4" s="135" t="s">
        <v>6</v>
      </c>
      <c r="I4" s="136" t="s">
        <v>7</v>
      </c>
      <c r="J4" s="136" t="s">
        <v>115</v>
      </c>
      <c r="K4" s="136" t="s">
        <v>92</v>
      </c>
      <c r="L4" s="134" t="s">
        <v>116</v>
      </c>
      <c r="M4" s="134" t="s">
        <v>81</v>
      </c>
      <c r="N4" s="134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141">
        <v>130</v>
      </c>
      <c r="G5" s="142">
        <v>56</v>
      </c>
      <c r="H5" s="141">
        <f>(Table2423256789[STOK])-(Table2423256789[TERJUAL])</f>
        <v>74</v>
      </c>
      <c r="I5" s="143">
        <f>(Table2423256789[HARGA JUAL]*Table2423256789[TERJUAL])-(Table2423256789[HARGA POKOK]*Table2423256789[TERJUAL])</f>
        <v>1232000</v>
      </c>
      <c r="J5" s="143">
        <f>(Table2423256789[HARGA JUAL]*Table2423256789[TERJUAL])</f>
        <v>5432000</v>
      </c>
      <c r="K5" s="143">
        <f>Table2423256789[HARGA JUAL]*Table2423256789[SISA]</f>
        <v>7178000</v>
      </c>
      <c r="L5" s="144">
        <f>Table2423256789[HARGA POKOK]*Table2423256789[STOK]</f>
        <v>9750000</v>
      </c>
      <c r="M5" s="144">
        <f>Table2423256789[HARGA JUAL]*Table2423256789[STOK]</f>
        <v>12610000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141">
        <v>132</v>
      </c>
      <c r="G6" s="142">
        <v>8</v>
      </c>
      <c r="H6" s="141">
        <f>(Table2423256789[STOK])-(Table2423256789[TERJUAL])</f>
        <v>124</v>
      </c>
      <c r="I6" s="143">
        <f>(Table2423256789[HARGA JUAL]*Table2423256789[TERJUAL])-(Table2423256789[HARGA POKOK]*Table2423256789[TERJUAL])</f>
        <v>160000</v>
      </c>
      <c r="J6" s="143">
        <f>(Table2423256789[HARGA JUAL]*Table2423256789[TERJUAL])</f>
        <v>640000</v>
      </c>
      <c r="K6" s="143">
        <f>Table2423256789[HARGA JUAL]*Table2423256789[SISA]</f>
        <v>9920000</v>
      </c>
      <c r="L6" s="144">
        <f>Table2423256789[HARGA POKOK]*Table2423256789[STOK]</f>
        <v>7920000</v>
      </c>
      <c r="M6" s="144">
        <f>Table2423256789[HARGA JUAL]*Table2423256789[STOK]</f>
        <v>10560000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52500</v>
      </c>
      <c r="E7" s="140">
        <v>70000</v>
      </c>
      <c r="F7" s="141">
        <v>29</v>
      </c>
      <c r="G7" s="142">
        <v>1</v>
      </c>
      <c r="H7" s="141">
        <f>(Table2423256789[STOK])-(Table2423256789[TERJUAL])</f>
        <v>28</v>
      </c>
      <c r="I7" s="143">
        <f>(Table2423256789[HARGA JUAL]*Table2423256789[TERJUAL])-(Table2423256789[HARGA POKOK]*Table2423256789[TERJUAL])</f>
        <v>17500</v>
      </c>
      <c r="J7" s="143">
        <f>(Table2423256789[HARGA JUAL]*Table2423256789[TERJUAL])</f>
        <v>70000</v>
      </c>
      <c r="K7" s="143">
        <f>Table2423256789[HARGA JUAL]*Table2423256789[SISA]</f>
        <v>1960000</v>
      </c>
      <c r="L7" s="144">
        <f>Table2423256789[HARGA POKOK]*Table2423256789[STOK]</f>
        <v>1522500</v>
      </c>
      <c r="M7" s="144">
        <f>Table2423256789[HARGA JUAL]*Table2423256789[STOK]</f>
        <v>2030000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113</v>
      </c>
      <c r="G8" s="142">
        <v>33</v>
      </c>
      <c r="H8" s="141">
        <f>(Table2423256789[STOK])-(Table2423256789[TERJUAL])</f>
        <v>80</v>
      </c>
      <c r="I8" s="143">
        <f>(Table2423256789[HARGA JUAL]*Table2423256789[TERJUAL])-(Table2423256789[HARGA POKOK]*Table2423256789[TERJUAL])</f>
        <v>544500</v>
      </c>
      <c r="J8" s="143">
        <f>(Table2423256789[HARGA JUAL]*Table2423256789[TERJUAL])</f>
        <v>2706000</v>
      </c>
      <c r="K8" s="143">
        <f>Table2423256789[HARGA JUAL]*Table2423256789[SISA]</f>
        <v>6560000</v>
      </c>
      <c r="L8" s="144">
        <f>Table2423256789[HARGA POKOK]*Table2423256789[STOK]</f>
        <v>7401500</v>
      </c>
      <c r="M8" s="144">
        <f>Table2423256789[HARGA JUAL]*Table2423256789[STOK]</f>
        <v>9266000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0</v>
      </c>
      <c r="G9" s="142"/>
      <c r="H9" s="141">
        <f>(Table2423256789[STOK])-(Table2423256789[TERJUAL])</f>
        <v>0</v>
      </c>
      <c r="I9" s="143">
        <f>(Table2423256789[HARGA JUAL]*Table2423256789[TERJUAL])-(Table2423256789[HARGA POKOK]*Table2423256789[TERJUAL])</f>
        <v>0</v>
      </c>
      <c r="J9" s="143">
        <f>(Table2423256789[HARGA JUAL]*Table2423256789[TERJUAL])</f>
        <v>0</v>
      </c>
      <c r="K9" s="143">
        <f>Table2423256789[HARGA JUAL]*Table2423256789[SISA]</f>
        <v>0</v>
      </c>
      <c r="L9" s="144">
        <f>Table2423256789[HARGA POKOK]*Table2423256789[STOK]</f>
        <v>0</v>
      </c>
      <c r="M9" s="144">
        <f>Table2423256789[HARGA JUAL]*Table2423256789[STOK]</f>
        <v>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33</v>
      </c>
      <c r="G10" s="142">
        <v>1</v>
      </c>
      <c r="H10" s="141">
        <f>(Table2423256789[STOK])-(Table2423256789[TERJUAL])</f>
        <v>32</v>
      </c>
      <c r="I10" s="143">
        <f>(Table2423256789[HARGA JUAL]*Table2423256789[TERJUAL])-(Table2423256789[HARGA POKOK]*Table2423256789[TERJUAL])</f>
        <v>26500</v>
      </c>
      <c r="J10" s="143">
        <f>(Table2423256789[HARGA JUAL]*Table2423256789[TERJUAL])</f>
        <v>110000</v>
      </c>
      <c r="K10" s="143">
        <f>Table2423256789[HARGA JUAL]*Table2423256789[SISA]</f>
        <v>3520000</v>
      </c>
      <c r="L10" s="144">
        <f>Table2423256789[HARGA POKOK]*Table2423256789[STOK]</f>
        <v>2755500</v>
      </c>
      <c r="M10" s="144">
        <f>Table2423256789[HARGA JUAL]*Table2423256789[STOK]</f>
        <v>3630000</v>
      </c>
      <c r="N10" s="145"/>
    </row>
    <row r="11" spans="1:14" x14ac:dyDescent="0.25">
      <c r="A11" s="137">
        <v>7</v>
      </c>
      <c r="B11" s="138" t="s">
        <v>28</v>
      </c>
      <c r="C11" s="138" t="s">
        <v>38</v>
      </c>
      <c r="D11" s="140">
        <v>88500</v>
      </c>
      <c r="E11" s="140">
        <v>115000</v>
      </c>
      <c r="F11" s="141">
        <v>14</v>
      </c>
      <c r="G11" s="142">
        <v>1</v>
      </c>
      <c r="H11" s="141">
        <f>(Table2423256789[STOK])-(Table2423256789[TERJUAL])</f>
        <v>13</v>
      </c>
      <c r="I11" s="143">
        <f>(Table2423256789[HARGA JUAL]*Table2423256789[TERJUAL])-(Table2423256789[HARGA POKOK]*Table2423256789[TERJUAL])</f>
        <v>26500</v>
      </c>
      <c r="J11" s="143">
        <f>(Table2423256789[HARGA JUAL]*Table2423256789[TERJUAL])</f>
        <v>115000</v>
      </c>
      <c r="K11" s="143">
        <f>Table2423256789[HARGA JUAL]*Table2423256789[SISA]</f>
        <v>1495000</v>
      </c>
      <c r="L11" s="144">
        <f>Table2423256789[HARGA POKOK]*Table2423256789[STOK]</f>
        <v>1239000</v>
      </c>
      <c r="M11" s="144">
        <f>Table2423256789[HARGA JUAL]*Table2423256789[STOK]</f>
        <v>1610000</v>
      </c>
      <c r="N11" s="145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102</v>
      </c>
      <c r="G12" s="142">
        <v>8</v>
      </c>
      <c r="H12" s="141">
        <f>(Table2423256789[STOK])-(Table2423256789[TERJUAL])</f>
        <v>94</v>
      </c>
      <c r="I12" s="143">
        <f>(Table2423256789[HARGA JUAL]*Table2423256789[TERJUAL])-(Table2423256789[HARGA POKOK]*Table2423256789[TERJUAL])</f>
        <v>48000</v>
      </c>
      <c r="J12" s="143">
        <f>(Table2423256789[HARGA JUAL]*Table2423256789[TERJUAL])</f>
        <v>720000</v>
      </c>
      <c r="K12" s="143">
        <f>Table2423256789[HARGA JUAL]*Table2423256789[SISA]</f>
        <v>8460000</v>
      </c>
      <c r="L12" s="144">
        <f>Table2423256789[HARGA POKOK]*Table2423256789[STOK]</f>
        <v>8568000</v>
      </c>
      <c r="M12" s="144">
        <f>Table2423256789[HARGA JUAL]*Table2423256789[STOK]</f>
        <v>9180000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33</v>
      </c>
      <c r="G13" s="142">
        <v>2</v>
      </c>
      <c r="H13" s="141">
        <f>(Table2423256789[STOK])-(Table2423256789[TERJUAL])</f>
        <v>31</v>
      </c>
      <c r="I13" s="143">
        <f>(Table2423256789[HARGA JUAL]*Table2423256789[TERJUAL])-(Table2423256789[HARGA POKOK]*Table2423256789[TERJUAL])</f>
        <v>43000</v>
      </c>
      <c r="J13" s="143">
        <f>(Table2423256789[HARGA JUAL]*Table2423256789[TERJUAL])</f>
        <v>360000</v>
      </c>
      <c r="K13" s="143">
        <f>Table2423256789[HARGA JUAL]*Table2423256789[SISA]</f>
        <v>5580000</v>
      </c>
      <c r="L13" s="144">
        <f>Table2423256789[HARGA POKOK]*Table2423256789[STOK]</f>
        <v>5230500</v>
      </c>
      <c r="M13" s="144">
        <f>Table2423256789[HARGA JUAL]*Table2423256789[STOK]</f>
        <v>5940000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165000</v>
      </c>
      <c r="F14" s="141">
        <v>51</v>
      </c>
      <c r="G14" s="142">
        <v>1</v>
      </c>
      <c r="H14" s="141">
        <f>(Table2423256789[STOK])-(Table2423256789[TERJUAL])</f>
        <v>50</v>
      </c>
      <c r="I14" s="143">
        <f>(Table2423256789[HARGA JUAL]*Table2423256789[TERJUAL])-(Table2423256789[HARGA POKOK]*Table2423256789[TERJUAL])</f>
        <v>32000</v>
      </c>
      <c r="J14" s="143">
        <f>(Table2423256789[HARGA JUAL]*Table2423256789[TERJUAL])</f>
        <v>165000</v>
      </c>
      <c r="K14" s="143">
        <f>Table2423256789[HARGA JUAL]*Table2423256789[SISA]</f>
        <v>8250000</v>
      </c>
      <c r="L14" s="144">
        <f>Table2423256789[HARGA POKOK]*Table2423256789[STOK]</f>
        <v>6783000</v>
      </c>
      <c r="M14" s="144">
        <f>Table2423256789[HARGA JUAL]*Table2423256789[STOK]</f>
        <v>8415000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57</v>
      </c>
      <c r="G15" s="142">
        <v>14</v>
      </c>
      <c r="H15" s="141">
        <f>(Table2423256789[STOK])-(Table2423256789[TERJUAL])</f>
        <v>43</v>
      </c>
      <c r="I15" s="143">
        <f>(Table2423256789[HARGA JUAL]*Table2423256789[TERJUAL])-(Table2423256789[HARGA POKOK]*Table2423256789[TERJUAL])</f>
        <v>147000</v>
      </c>
      <c r="J15" s="143">
        <f>(Table2423256789[HARGA JUAL]*Table2423256789[TERJUAL])</f>
        <v>560000</v>
      </c>
      <c r="K15" s="143">
        <f>Table2423256789[HARGA JUAL]*Table2423256789[SISA]</f>
        <v>1720000</v>
      </c>
      <c r="L15" s="144">
        <f>Table2423256789[HARGA POKOK]*Table2423256789[STOK]</f>
        <v>1681500</v>
      </c>
      <c r="M15" s="144">
        <f>Table2423256789[HARGA JUAL]*Table2423256789[STOK]</f>
        <v>2280000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24</v>
      </c>
      <c r="G16" s="142"/>
      <c r="H16" s="141">
        <f>(Table2423256789[STOK])-(Table2423256789[TERJUAL])</f>
        <v>24</v>
      </c>
      <c r="I16" s="143">
        <f>(Table2423256789[HARGA JUAL]*Table2423256789[TERJUAL])-(Table2423256789[HARGA POKOK]*Table2423256789[TERJUAL])</f>
        <v>0</v>
      </c>
      <c r="J16" s="143">
        <f>(Table2423256789[HARGA JUAL]*Table2423256789[TERJUAL])</f>
        <v>0</v>
      </c>
      <c r="K16" s="143">
        <f>Table2423256789[HARGA JUAL]*Table2423256789[SISA]</f>
        <v>2400000</v>
      </c>
      <c r="L16" s="144">
        <f>Table2423256789[HARGA POKOK]*Table2423256789[STOK]</f>
        <v>1740000</v>
      </c>
      <c r="M16" s="144">
        <f>Table2423256789[HARGA JUAL]*Table2423256789[STOK]</f>
        <v>2400000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63</v>
      </c>
      <c r="G17" s="142">
        <v>2</v>
      </c>
      <c r="H17" s="141">
        <f>(Table2423256789[STOK])-(Table2423256789[TERJUAL])</f>
        <v>61</v>
      </c>
      <c r="I17" s="143">
        <f>(Table2423256789[HARGA JUAL]*Table2423256789[TERJUAL])-(Table2423256789[HARGA POKOK]*Table2423256789[TERJUAL])</f>
        <v>38000</v>
      </c>
      <c r="J17" s="143">
        <f>(Table2423256789[HARGA JUAL]*Table2423256789[TERJUAL])</f>
        <v>170000</v>
      </c>
      <c r="K17" s="143">
        <f>Table2423256789[HARGA JUAL]*Table2423256789[SISA]</f>
        <v>5185000</v>
      </c>
      <c r="L17" s="144">
        <f>Table2423256789[HARGA POKOK]*Table2423256789[STOK]</f>
        <v>4158000</v>
      </c>
      <c r="M17" s="144">
        <f>Table2423256789[HARGA JUAL]*Table2423256789[STOK]</f>
        <v>5355000</v>
      </c>
      <c r="N17" s="145"/>
    </row>
    <row r="18" spans="1:14" x14ac:dyDescent="0.25">
      <c r="A18" s="137">
        <v>14</v>
      </c>
      <c r="B18" s="138" t="s">
        <v>28</v>
      </c>
      <c r="C18" s="138" t="s">
        <v>48</v>
      </c>
      <c r="D18" s="140">
        <v>22500</v>
      </c>
      <c r="E18" s="140">
        <v>28000</v>
      </c>
      <c r="F18" s="141">
        <v>382</v>
      </c>
      <c r="G18" s="142">
        <v>5</v>
      </c>
      <c r="H18" s="141">
        <f>(Table2423256789[STOK])-(Table2423256789[TERJUAL])</f>
        <v>377</v>
      </c>
      <c r="I18" s="143">
        <f>(Table2423256789[HARGA JUAL]*Table2423256789[TERJUAL])-(Table2423256789[HARGA POKOK]*Table2423256789[TERJUAL])</f>
        <v>27500</v>
      </c>
      <c r="J18" s="143">
        <f>(Table2423256789[HARGA JUAL]*Table2423256789[TERJUAL])</f>
        <v>140000</v>
      </c>
      <c r="K18" s="143">
        <f>Table2423256789[HARGA JUAL]*Table2423256789[SISA]</f>
        <v>10556000</v>
      </c>
      <c r="L18" s="144">
        <f>Table2423256789[HARGA POKOK]*Table2423256789[STOK]</f>
        <v>8595000</v>
      </c>
      <c r="M18" s="144">
        <f>Table2423256789[HARGA JUAL]*Table2423256789[STOK]</f>
        <v>10696000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64</v>
      </c>
      <c r="G19" s="142">
        <v>8</v>
      </c>
      <c r="H19" s="141">
        <f>(Table2423256789[STOK])-(Table2423256789[TERJUAL])</f>
        <v>56</v>
      </c>
      <c r="I19" s="143">
        <f>(Table2423256789[HARGA JUAL]*Table2423256789[TERJUAL])-(Table2423256789[HARGA POKOK]*Table2423256789[TERJUAL])</f>
        <v>192000</v>
      </c>
      <c r="J19" s="143">
        <f>(Table2423256789[HARGA JUAL]*Table2423256789[TERJUAL])</f>
        <v>640000</v>
      </c>
      <c r="K19" s="143">
        <f>Table2423256789[HARGA JUAL]*Table2423256789[SISA]</f>
        <v>4480000</v>
      </c>
      <c r="L19" s="144">
        <f>Table2423256789[HARGA POKOK]*Table2423256789[STOK]</f>
        <v>3584000</v>
      </c>
      <c r="M19" s="144">
        <f>Table2423256789[HARGA JUAL]*Table2423256789[STOK]</f>
        <v>5120000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1</v>
      </c>
      <c r="G20" s="142"/>
      <c r="H20" s="141">
        <f>(Table2423256789[STOK])-(Table2423256789[TERJUAL])</f>
        <v>1</v>
      </c>
      <c r="I20" s="143">
        <f>(Table2423256789[HARGA JUAL]*Table2423256789[TERJUAL])-(Table2423256789[HARGA POKOK]*Table2423256789[TERJUAL])</f>
        <v>0</v>
      </c>
      <c r="J20" s="143">
        <f>(Table2423256789[HARGA JUAL]*Table2423256789[TERJUAL])</f>
        <v>0</v>
      </c>
      <c r="K20" s="143">
        <f>Table2423256789[HARGA JUAL]*Table2423256789[SISA]</f>
        <v>60000</v>
      </c>
      <c r="L20" s="144">
        <f>Table2423256789[HARGA POKOK]*Table2423256789[STOK]</f>
        <v>40000</v>
      </c>
      <c r="M20" s="144">
        <f>Table2423256789[HARGA JUAL]*Table2423256789[STOK]</f>
        <v>60000</v>
      </c>
      <c r="N20" s="145"/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95</v>
      </c>
      <c r="G21" s="142">
        <v>1</v>
      </c>
      <c r="H21" s="141">
        <f>(Table2423256789[STOK])-(Table2423256789[TERJUAL])</f>
        <v>94</v>
      </c>
      <c r="I21" s="143">
        <f>(Table2423256789[HARGA JUAL]*Table2423256789[TERJUAL])-(Table2423256789[HARGA POKOK]*Table2423256789[TERJUAL])</f>
        <v>11500</v>
      </c>
      <c r="J21" s="143">
        <f>(Table2423256789[HARGA JUAL]*Table2423256789[TERJUAL])</f>
        <v>22000</v>
      </c>
      <c r="K21" s="143">
        <f>Table2423256789[HARGA JUAL]*Table2423256789[SISA]</f>
        <v>2068000</v>
      </c>
      <c r="L21" s="144">
        <f>Table2423256789[HARGA POKOK]*Table2423256789[STOK]</f>
        <v>997500</v>
      </c>
      <c r="M21" s="144">
        <f>Table2423256789[HARGA JUAL]*Table2423256789[STOK]</f>
        <v>2090000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68</v>
      </c>
      <c r="G22" s="142"/>
      <c r="H22" s="141">
        <f>(Table2423256789[STOK])-(Table2423256789[TERJUAL])</f>
        <v>68</v>
      </c>
      <c r="I22" s="143">
        <f>(Table2423256789[HARGA JUAL]*Table2423256789[TERJUAL])-(Table2423256789[HARGA POKOK]*Table2423256789[TERJUAL])</f>
        <v>0</v>
      </c>
      <c r="J22" s="143">
        <f>(Table2423256789[HARGA JUAL]*Table2423256789[TERJUAL])</f>
        <v>0</v>
      </c>
      <c r="K22" s="143">
        <f>Table2423256789[HARGA JUAL]*Table2423256789[SISA]</f>
        <v>5440000</v>
      </c>
      <c r="L22" s="144">
        <f>Table2423256789[HARGA POKOK]*Table2423256789[STOK]</f>
        <v>4080000</v>
      </c>
      <c r="M22" s="144">
        <f>Table2423256789[HARGA JUAL]*Table2423256789[STOK]</f>
        <v>5440000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100</v>
      </c>
      <c r="G23" s="142">
        <v>4</v>
      </c>
      <c r="H23" s="141">
        <f>(Table2423256789[STOK])-(Table2423256789[TERJUAL])</f>
        <v>96</v>
      </c>
      <c r="I23" s="143">
        <f>(Table2423256789[HARGA JUAL]*Table2423256789[TERJUAL])-(Table2423256789[HARGA POKOK]*Table2423256789[TERJUAL])</f>
        <v>42000</v>
      </c>
      <c r="J23" s="143">
        <f>(Table2423256789[HARGA JUAL]*Table2423256789[TERJUAL])</f>
        <v>100000</v>
      </c>
      <c r="K23" s="143">
        <f>Table2423256789[HARGA JUAL]*Table2423256789[SISA]</f>
        <v>2400000</v>
      </c>
      <c r="L23" s="144">
        <f>Table2423256789[HARGA POKOK]*Table2423256789[STOK]</f>
        <v>1450000</v>
      </c>
      <c r="M23" s="144">
        <f>Table2423256789[HARGA JUAL]*Table2423256789[STOK]</f>
        <v>2500000</v>
      </c>
      <c r="N23" s="145"/>
    </row>
    <row r="24" spans="1:14" x14ac:dyDescent="0.25">
      <c r="A24" s="137">
        <v>20</v>
      </c>
      <c r="B24" s="138" t="s">
        <v>28</v>
      </c>
      <c r="C24" s="138" t="s">
        <v>52</v>
      </c>
      <c r="D24" s="140">
        <v>30000</v>
      </c>
      <c r="E24" s="140">
        <v>30000</v>
      </c>
      <c r="F24" s="141">
        <v>77</v>
      </c>
      <c r="G24" s="142">
        <v>5</v>
      </c>
      <c r="H24" s="141">
        <f>(Table2423256789[STOK])-(Table2423256789[TERJUAL])</f>
        <v>72</v>
      </c>
      <c r="I24" s="143">
        <f>(Table2423256789[HARGA JUAL]*Table2423256789[TERJUAL])-(Table2423256789[HARGA POKOK]*Table2423256789[TERJUAL])</f>
        <v>0</v>
      </c>
      <c r="J24" s="143">
        <f>(Table2423256789[HARGA JUAL]*Table2423256789[TERJUAL])</f>
        <v>150000</v>
      </c>
      <c r="K24" s="143">
        <f>Table2423256789[HARGA JUAL]*Table2423256789[SISA]</f>
        <v>2160000</v>
      </c>
      <c r="L24" s="144">
        <f>Table2423256789[HARGA POKOK]*Table2423256789[STOK]</f>
        <v>2310000</v>
      </c>
      <c r="M24" s="144">
        <f>Table2423256789[HARGA JUAL]*Table2423256789[STOK]</f>
        <v>2310000</v>
      </c>
      <c r="N24" s="145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3000</v>
      </c>
      <c r="E25" s="140">
        <v>5000</v>
      </c>
      <c r="F25" s="141"/>
      <c r="G25" s="142"/>
      <c r="H25" s="141">
        <f>(Table2423256789[STOK])-(Table2423256789[TERJUAL])</f>
        <v>0</v>
      </c>
      <c r="I25" s="143">
        <f>(Table2423256789[HARGA JUAL]*Table2423256789[TERJUAL])-(Table2423256789[HARGA POKOK]*Table2423256789[TERJUAL])</f>
        <v>0</v>
      </c>
      <c r="J25" s="143">
        <f>(Table2423256789[HARGA JUAL]*Table2423256789[TERJUAL])</f>
        <v>0</v>
      </c>
      <c r="K25" s="143">
        <f>Table2423256789[HARGA JUAL]*Table2423256789[SISA]</f>
        <v>0</v>
      </c>
      <c r="L25" s="144">
        <f>Table2423256789[HARGA POKOK]*Table2423256789[STOK]</f>
        <v>0</v>
      </c>
      <c r="M25" s="144">
        <f>Table2423256789[HARGA JUAL]*Table2423256789[STOK]</f>
        <v>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98</v>
      </c>
      <c r="G26" s="142">
        <v>2</v>
      </c>
      <c r="H26" s="141">
        <f>(Table2423256789[STOK])-(Table2423256789[TERJUAL])</f>
        <v>96</v>
      </c>
      <c r="I26" s="143">
        <f>(Table2423256789[HARGA JUAL]*Table2423256789[TERJUAL])-(Table2423256789[HARGA POKOK]*Table2423256789[TERJUAL])</f>
        <v>25000</v>
      </c>
      <c r="J26" s="143">
        <f>(Table2423256789[HARGA JUAL]*Table2423256789[TERJUAL])</f>
        <v>120000</v>
      </c>
      <c r="K26" s="143">
        <f>Table2423256789[HARGA JUAL]*Table2423256789[SISA]</f>
        <v>5760000</v>
      </c>
      <c r="L26" s="144">
        <f>Table2423256789[HARGA POKOK]*Table2423256789[STOK]</f>
        <v>4655000</v>
      </c>
      <c r="M26" s="144">
        <f>Table2423256789[HARGA JUAL]*Table2423256789[STOK]</f>
        <v>5880000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22</v>
      </c>
      <c r="G27" s="142">
        <v>11</v>
      </c>
      <c r="H27" s="141">
        <f>(Table2423256789[STOK])-(Table2423256789[TERJUAL])</f>
        <v>11</v>
      </c>
      <c r="I27" s="143">
        <f>(Table2423256789[HARGA JUAL]*Table2423256789[TERJUAL])-(Table2423256789[HARGA POKOK]*Table2423256789[TERJUAL])</f>
        <v>313500</v>
      </c>
      <c r="J27" s="143">
        <f>(Table2423256789[HARGA JUAL]*Table2423256789[TERJUAL])</f>
        <v>1573000</v>
      </c>
      <c r="K27" s="143">
        <f>Table2423256789[HARGA JUAL]*Table2423256789[SISA]</f>
        <v>1573000</v>
      </c>
      <c r="L27" s="144">
        <f>Table2423256789[HARGA POKOK]*Table2423256789[STOK]</f>
        <v>2519000</v>
      </c>
      <c r="M27" s="144">
        <f>Table2423256789[HARGA JUAL]*Table2423256789[STOK]</f>
        <v>3146000</v>
      </c>
      <c r="N27" s="145"/>
    </row>
    <row r="28" spans="1:14" x14ac:dyDescent="0.25">
      <c r="A28" s="137">
        <v>24</v>
      </c>
      <c r="B28" s="138" t="s">
        <v>29</v>
      </c>
      <c r="C28" s="138" t="s">
        <v>56</v>
      </c>
      <c r="D28" s="140">
        <v>82500</v>
      </c>
      <c r="E28" s="140">
        <v>120000</v>
      </c>
      <c r="F28" s="141">
        <v>0</v>
      </c>
      <c r="G28" s="142"/>
      <c r="H28" s="141">
        <f>(Table2423256789[STOK])-(Table2423256789[TERJUAL])</f>
        <v>0</v>
      </c>
      <c r="I28" s="143">
        <f>(Table2423256789[HARGA JUAL]*Table2423256789[TERJUAL])-(Table2423256789[HARGA POKOK]*Table2423256789[TERJUAL])</f>
        <v>0</v>
      </c>
      <c r="J28" s="143">
        <f>(Table2423256789[HARGA JUAL]*Table2423256789[TERJUAL])</f>
        <v>0</v>
      </c>
      <c r="K28" s="143">
        <f>Table2423256789[HARGA JUAL]*Table2423256789[SISA]</f>
        <v>0</v>
      </c>
      <c r="L28" s="144">
        <f>Table2423256789[HARGA POKOK]*Table2423256789[STOK]</f>
        <v>0</v>
      </c>
      <c r="M28" s="144">
        <f>Table2423256789[HARGA JUAL]*Table2423256789[STOK]</f>
        <v>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100000</v>
      </c>
      <c r="E29" s="140">
        <v>100000</v>
      </c>
      <c r="F29" s="141">
        <v>30</v>
      </c>
      <c r="G29" s="142">
        <v>16</v>
      </c>
      <c r="H29" s="141">
        <f>(Table2423256789[STOK])-(Table2423256789[TERJUAL])</f>
        <v>14</v>
      </c>
      <c r="I29" s="143">
        <f>(Table2423256789[HARGA JUAL]*Table2423256789[TERJUAL])-(Table2423256789[HARGA POKOK]*Table2423256789[TERJUAL])</f>
        <v>0</v>
      </c>
      <c r="J29" s="143">
        <f>(Table2423256789[HARGA JUAL]*Table2423256789[TERJUAL])</f>
        <v>1600000</v>
      </c>
      <c r="K29" s="143">
        <f>Table2423256789[HARGA JUAL]*Table2423256789[SISA]</f>
        <v>1400000</v>
      </c>
      <c r="L29" s="144">
        <f>Table2423256789[HARGA POKOK]*Table2423256789[STOK]</f>
        <v>3000000</v>
      </c>
      <c r="M29" s="144">
        <f>Table2423256789[HARGA JUAL]*Table2423256789[STOK]</f>
        <v>3000000</v>
      </c>
      <c r="N29" s="145" t="s">
        <v>179</v>
      </c>
    </row>
    <row r="30" spans="1:14" x14ac:dyDescent="0.25">
      <c r="A30" s="137">
        <v>26</v>
      </c>
      <c r="B30" s="138" t="s">
        <v>30</v>
      </c>
      <c r="C30" s="138" t="s">
        <v>58</v>
      </c>
      <c r="D30" s="140">
        <v>10000</v>
      </c>
      <c r="E30" s="140">
        <v>18000</v>
      </c>
      <c r="F30" s="141">
        <v>19</v>
      </c>
      <c r="G30" s="142">
        <v>2</v>
      </c>
      <c r="H30" s="141">
        <f>(Table2423256789[STOK])-(Table2423256789[TERJUAL])</f>
        <v>17</v>
      </c>
      <c r="I30" s="143">
        <f>(Table2423256789[HARGA JUAL]*Table2423256789[TERJUAL])-(Table2423256789[HARGA POKOK]*Table2423256789[TERJUAL])</f>
        <v>16000</v>
      </c>
      <c r="J30" s="143">
        <f>(Table2423256789[HARGA JUAL]*Table2423256789[TERJUAL])</f>
        <v>36000</v>
      </c>
      <c r="K30" s="143">
        <f>Table2423256789[HARGA JUAL]*Table2423256789[SISA]</f>
        <v>306000</v>
      </c>
      <c r="L30" s="144">
        <f>Table2423256789[HARGA POKOK]*Table2423256789[STOK]</f>
        <v>190000</v>
      </c>
      <c r="M30" s="144">
        <f>Table2423256789[HARGA JUAL]*Table2423256789[STOK]</f>
        <v>342000</v>
      </c>
      <c r="N30" s="145"/>
    </row>
    <row r="31" spans="1:14" x14ac:dyDescent="0.25">
      <c r="A31" s="137">
        <v>27</v>
      </c>
      <c r="B31" s="138" t="s">
        <v>30</v>
      </c>
      <c r="C31" s="138" t="s">
        <v>59</v>
      </c>
      <c r="D31" s="140">
        <v>27500</v>
      </c>
      <c r="E31" s="140">
        <v>45000</v>
      </c>
      <c r="F31" s="141">
        <v>32</v>
      </c>
      <c r="G31" s="142">
        <v>4</v>
      </c>
      <c r="H31" s="141">
        <f>(Table2423256789[STOK])-(Table2423256789[TERJUAL])</f>
        <v>28</v>
      </c>
      <c r="I31" s="143">
        <f>(Table2423256789[HARGA JUAL]*Table2423256789[TERJUAL])-(Table2423256789[HARGA POKOK]*Table2423256789[TERJUAL])</f>
        <v>70000</v>
      </c>
      <c r="J31" s="143">
        <f>(Table2423256789[HARGA JUAL]*Table2423256789[TERJUAL])</f>
        <v>180000</v>
      </c>
      <c r="K31" s="143">
        <f>Table2423256789[HARGA JUAL]*Table2423256789[SISA]</f>
        <v>1260000</v>
      </c>
      <c r="L31" s="144">
        <f>Table2423256789[HARGA POKOK]*Table2423256789[STOK]</f>
        <v>880000</v>
      </c>
      <c r="M31" s="144">
        <f>Table2423256789[HARGA JUAL]*Table2423256789[STOK]</f>
        <v>1440000</v>
      </c>
      <c r="N31" s="145"/>
    </row>
    <row r="32" spans="1:14" x14ac:dyDescent="0.25">
      <c r="A32" s="137">
        <v>28</v>
      </c>
      <c r="B32" s="138" t="s">
        <v>30</v>
      </c>
      <c r="C32" s="138" t="s">
        <v>60</v>
      </c>
      <c r="D32" s="140">
        <v>12500</v>
      </c>
      <c r="E32" s="140">
        <v>16000</v>
      </c>
      <c r="F32" s="141">
        <v>269</v>
      </c>
      <c r="G32" s="142">
        <v>26</v>
      </c>
      <c r="H32" s="141">
        <f>(Table2423256789[STOK])-(Table2423256789[TERJUAL])</f>
        <v>243</v>
      </c>
      <c r="I32" s="143">
        <f>(Table2423256789[HARGA JUAL]*Table2423256789[TERJUAL])-(Table2423256789[HARGA POKOK]*Table2423256789[TERJUAL])</f>
        <v>91000</v>
      </c>
      <c r="J32" s="143">
        <f>(Table2423256789[HARGA JUAL]*Table2423256789[TERJUAL])</f>
        <v>416000</v>
      </c>
      <c r="K32" s="143">
        <f>Table2423256789[HARGA JUAL]*Table2423256789[SISA]</f>
        <v>3888000</v>
      </c>
      <c r="L32" s="144">
        <f>Table2423256789[HARGA POKOK]*Table2423256789[STOK]</f>
        <v>3362500</v>
      </c>
      <c r="M32" s="144">
        <f>Table2423256789[HARGA JUAL]*Table2423256789[STOK]</f>
        <v>4304000</v>
      </c>
      <c r="N32" s="145"/>
    </row>
    <row r="33" spans="1:14" x14ac:dyDescent="0.25">
      <c r="A33" s="137">
        <v>29</v>
      </c>
      <c r="B33" s="138" t="s">
        <v>30</v>
      </c>
      <c r="C33" s="138" t="s">
        <v>13</v>
      </c>
      <c r="D33" s="140">
        <v>33500</v>
      </c>
      <c r="E33" s="140">
        <v>50000</v>
      </c>
      <c r="F33" s="141">
        <v>17</v>
      </c>
      <c r="G33" s="142">
        <v>5</v>
      </c>
      <c r="H33" s="141">
        <f>(Table2423256789[STOK])-(Table2423256789[TERJUAL])</f>
        <v>12</v>
      </c>
      <c r="I33" s="143">
        <f>(Table2423256789[HARGA JUAL]*Table2423256789[TERJUAL])-(Table2423256789[HARGA POKOK]*Table2423256789[TERJUAL])</f>
        <v>82500</v>
      </c>
      <c r="J33" s="143">
        <f>(Table2423256789[HARGA JUAL]*Table2423256789[TERJUAL])</f>
        <v>250000</v>
      </c>
      <c r="K33" s="143">
        <f>Table2423256789[HARGA JUAL]*Table2423256789[SISA]</f>
        <v>600000</v>
      </c>
      <c r="L33" s="144">
        <f>Table2423256789[HARGA POKOK]*Table2423256789[STOK]</f>
        <v>569500</v>
      </c>
      <c r="M33" s="144">
        <f>Table2423256789[HARGA JUAL]*Table2423256789[STOK]</f>
        <v>850000</v>
      </c>
      <c r="N33" s="145"/>
    </row>
    <row r="34" spans="1:14" x14ac:dyDescent="0.25">
      <c r="A34" s="137">
        <v>30</v>
      </c>
      <c r="B34" s="138" t="s">
        <v>30</v>
      </c>
      <c r="C34" s="138" t="s">
        <v>14</v>
      </c>
      <c r="D34" s="140">
        <v>8500</v>
      </c>
      <c r="E34" s="140">
        <v>12000</v>
      </c>
      <c r="F34" s="141">
        <v>214</v>
      </c>
      <c r="G34" s="142">
        <v>8</v>
      </c>
      <c r="H34" s="141">
        <f>(Table2423256789[STOK])-(Table2423256789[TERJUAL])</f>
        <v>206</v>
      </c>
      <c r="I34" s="143">
        <f>(Table2423256789[HARGA JUAL]*Table2423256789[TERJUAL])-(Table2423256789[HARGA POKOK]*Table2423256789[TERJUAL])</f>
        <v>28000</v>
      </c>
      <c r="J34" s="143">
        <f>(Table2423256789[HARGA JUAL]*Table2423256789[TERJUAL])</f>
        <v>96000</v>
      </c>
      <c r="K34" s="143">
        <f>Table2423256789[HARGA JUAL]*Table2423256789[SISA]</f>
        <v>2472000</v>
      </c>
      <c r="L34" s="144">
        <f>Table2423256789[HARGA POKOK]*Table2423256789[STOK]</f>
        <v>1819000</v>
      </c>
      <c r="M34" s="144">
        <f>Table2423256789[HARGA JUAL]*Table2423256789[STOK]</f>
        <v>2568000</v>
      </c>
      <c r="N34" s="145" t="s">
        <v>201</v>
      </c>
    </row>
    <row r="35" spans="1:14" x14ac:dyDescent="0.25">
      <c r="A35" s="137">
        <v>31</v>
      </c>
      <c r="B35" s="138" t="s">
        <v>30</v>
      </c>
      <c r="C35" s="138" t="s">
        <v>15</v>
      </c>
      <c r="D35" s="140">
        <v>30500</v>
      </c>
      <c r="E35" s="140">
        <v>45000</v>
      </c>
      <c r="F35" s="141">
        <v>33</v>
      </c>
      <c r="G35" s="142">
        <v>5</v>
      </c>
      <c r="H35" s="141">
        <f>(Table2423256789[STOK])-(Table2423256789[TERJUAL])</f>
        <v>28</v>
      </c>
      <c r="I35" s="143">
        <f>(Table2423256789[HARGA JUAL]*Table2423256789[TERJUAL])-(Table2423256789[HARGA POKOK]*Table2423256789[TERJUAL])</f>
        <v>72500</v>
      </c>
      <c r="J35" s="143">
        <f>(Table2423256789[HARGA JUAL]*Table2423256789[TERJUAL])</f>
        <v>225000</v>
      </c>
      <c r="K35" s="143">
        <f>Table2423256789[HARGA JUAL]*Table2423256789[SISA]</f>
        <v>1260000</v>
      </c>
      <c r="L35" s="144">
        <f>Table2423256789[HARGA POKOK]*Table2423256789[STOK]</f>
        <v>1006500</v>
      </c>
      <c r="M35" s="144">
        <f>Table2423256789[HARGA JUAL]*Table2423256789[STOK]</f>
        <v>1485000</v>
      </c>
      <c r="N35" s="145"/>
    </row>
    <row r="36" spans="1:14" x14ac:dyDescent="0.25">
      <c r="A36" s="137">
        <v>32</v>
      </c>
      <c r="B36" s="138" t="s">
        <v>30</v>
      </c>
      <c r="C36" s="138" t="s">
        <v>16</v>
      </c>
      <c r="D36" s="140">
        <v>7500</v>
      </c>
      <c r="E36" s="140">
        <v>10000</v>
      </c>
      <c r="F36" s="141">
        <v>192</v>
      </c>
      <c r="G36" s="142">
        <v>17</v>
      </c>
      <c r="H36" s="141">
        <f>(Table2423256789[STOK])-(Table2423256789[TERJUAL])</f>
        <v>175</v>
      </c>
      <c r="I36" s="143">
        <f>(Table2423256789[HARGA JUAL]*Table2423256789[TERJUAL])-(Table2423256789[HARGA POKOK]*Table2423256789[TERJUAL])</f>
        <v>42500</v>
      </c>
      <c r="J36" s="143">
        <f>(Table2423256789[HARGA JUAL]*Table2423256789[TERJUAL])</f>
        <v>170000</v>
      </c>
      <c r="K36" s="143">
        <f>Table2423256789[HARGA JUAL]*Table2423256789[SISA]</f>
        <v>1750000</v>
      </c>
      <c r="L36" s="144">
        <f>Table2423256789[HARGA POKOK]*Table2423256789[STOK]</f>
        <v>1440000</v>
      </c>
      <c r="M36" s="144">
        <f>Table2423256789[HARGA JUAL]*Table2423256789[STOK]</f>
        <v>1920000</v>
      </c>
      <c r="N36" s="145" t="s">
        <v>202</v>
      </c>
    </row>
    <row r="37" spans="1:14" x14ac:dyDescent="0.25">
      <c r="A37" s="137">
        <v>33</v>
      </c>
      <c r="B37" s="138" t="s">
        <v>35</v>
      </c>
      <c r="C37" s="138" t="s">
        <v>36</v>
      </c>
      <c r="D37" s="140">
        <v>51500</v>
      </c>
      <c r="E37" s="140">
        <v>65000</v>
      </c>
      <c r="F37" s="141">
        <v>44</v>
      </c>
      <c r="G37" s="142">
        <v>3</v>
      </c>
      <c r="H37" s="141">
        <f>(Table2423256789[STOK])-(Table2423256789[TERJUAL])</f>
        <v>41</v>
      </c>
      <c r="I37" s="143">
        <f>(Table2423256789[HARGA JUAL]*Table2423256789[TERJUAL])-(Table2423256789[HARGA POKOK]*Table2423256789[TERJUAL])</f>
        <v>40500</v>
      </c>
      <c r="J37" s="143">
        <f>(Table2423256789[HARGA JUAL]*Table2423256789[TERJUAL])</f>
        <v>195000</v>
      </c>
      <c r="K37" s="143">
        <f>Table2423256789[HARGA JUAL]*Table2423256789[SISA]</f>
        <v>2665000</v>
      </c>
      <c r="L37" s="144">
        <f>Table2423256789[HARGA POKOK]*Table2423256789[STOK]</f>
        <v>2266000</v>
      </c>
      <c r="M37" s="144">
        <f>Table2423256789[HARGA JUAL]*Table2423256789[STOK]</f>
        <v>2860000</v>
      </c>
      <c r="N37" s="145"/>
    </row>
    <row r="38" spans="1:14" x14ac:dyDescent="0.25">
      <c r="A38" s="137">
        <v>34</v>
      </c>
      <c r="B38" s="138" t="s">
        <v>35</v>
      </c>
      <c r="C38" s="138" t="s">
        <v>175</v>
      </c>
      <c r="D38" s="140">
        <v>27500</v>
      </c>
      <c r="E38" s="140">
        <v>40000</v>
      </c>
      <c r="F38" s="141">
        <v>87</v>
      </c>
      <c r="G38" s="142"/>
      <c r="H38" s="141">
        <f>(Table2423256789[STOK])-(Table2423256789[TERJUAL])</f>
        <v>87</v>
      </c>
      <c r="I38" s="143">
        <f>(Table2423256789[HARGA JUAL]*Table2423256789[TERJUAL])-(Table2423256789[HARGA POKOK]*Table2423256789[TERJUAL])</f>
        <v>0</v>
      </c>
      <c r="J38" s="143">
        <f>(Table2423256789[HARGA JUAL]*Table2423256789[TERJUAL])</f>
        <v>0</v>
      </c>
      <c r="K38" s="143">
        <f>Table2423256789[HARGA JUAL]*Table2423256789[SISA]</f>
        <v>3480000</v>
      </c>
      <c r="L38" s="144">
        <f>Table2423256789[HARGA POKOK]*Table2423256789[STOK]</f>
        <v>2392500</v>
      </c>
      <c r="M38" s="144">
        <f>Table2423256789[HARGA JUAL]*Table2423256789[STOK]</f>
        <v>3480000</v>
      </c>
      <c r="N38" s="145"/>
    </row>
    <row r="39" spans="1:14" x14ac:dyDescent="0.25">
      <c r="A39" s="137">
        <v>35</v>
      </c>
      <c r="B39" s="138" t="s">
        <v>31</v>
      </c>
      <c r="C39" s="138" t="s">
        <v>180</v>
      </c>
      <c r="D39" s="140">
        <v>21500</v>
      </c>
      <c r="E39" s="140">
        <v>40000</v>
      </c>
      <c r="F39" s="141">
        <v>120</v>
      </c>
      <c r="G39" s="142"/>
      <c r="H39" s="141">
        <f>(Table2423256789[STOK])-(Table2423256789[TERJUAL])</f>
        <v>120</v>
      </c>
      <c r="I39" s="143">
        <f>(Table2423256789[HARGA JUAL]*Table2423256789[TERJUAL])-(Table2423256789[HARGA POKOK]*Table2423256789[TERJUAL])</f>
        <v>0</v>
      </c>
      <c r="J39" s="143">
        <f>(Table2423256789[HARGA JUAL]*Table2423256789[TERJUAL])</f>
        <v>0</v>
      </c>
      <c r="K39" s="143">
        <f>Table2423256789[HARGA JUAL]*Table2423256789[SISA]</f>
        <v>4800000</v>
      </c>
      <c r="L39" s="144">
        <f>Table2423256789[HARGA POKOK]*Table2423256789[STOK]</f>
        <v>2580000</v>
      </c>
      <c r="M39" s="144">
        <f>Table2423256789[HARGA JUAL]*Table2423256789[STOK]</f>
        <v>4800000</v>
      </c>
      <c r="N39" s="145"/>
    </row>
    <row r="40" spans="1:14" x14ac:dyDescent="0.25">
      <c r="A40" s="137">
        <v>36</v>
      </c>
      <c r="B40" s="138" t="s">
        <v>31</v>
      </c>
      <c r="C40" s="138" t="s">
        <v>62</v>
      </c>
      <c r="D40" s="140">
        <v>25000</v>
      </c>
      <c r="E40" s="140">
        <v>40000</v>
      </c>
      <c r="F40" s="141"/>
      <c r="G40" s="142"/>
      <c r="H40" s="141">
        <f>(Table2423256789[STOK])-(Table2423256789[TERJUAL])</f>
        <v>0</v>
      </c>
      <c r="I40" s="143">
        <f>(Table2423256789[HARGA JUAL]*Table2423256789[TERJUAL])-(Table2423256789[HARGA POKOK]*Table2423256789[TERJUAL])</f>
        <v>0</v>
      </c>
      <c r="J40" s="143">
        <f>(Table2423256789[HARGA JUAL]*Table2423256789[TERJUAL])</f>
        <v>0</v>
      </c>
      <c r="K40" s="143">
        <f>Table2423256789[HARGA JUAL]*Table2423256789[SISA]</f>
        <v>0</v>
      </c>
      <c r="L40" s="144">
        <f>Table2423256789[HARGA POKOK]*Table2423256789[STOK]</f>
        <v>0</v>
      </c>
      <c r="M40" s="144">
        <f>Table2423256789[HARGA JUAL]*Table2423256789[STOK]</f>
        <v>0</v>
      </c>
      <c r="N40" s="145"/>
    </row>
    <row r="41" spans="1:14" x14ac:dyDescent="0.25">
      <c r="A41" s="137">
        <v>37</v>
      </c>
      <c r="B41" s="138" t="s">
        <v>31</v>
      </c>
      <c r="C41" s="138" t="s">
        <v>181</v>
      </c>
      <c r="D41" s="140">
        <v>34500</v>
      </c>
      <c r="E41" s="140">
        <v>40000</v>
      </c>
      <c r="F41" s="141">
        <v>120</v>
      </c>
      <c r="G41" s="142">
        <v>1</v>
      </c>
      <c r="H41" s="141">
        <f>(Table2423256789[STOK])-(Table2423256789[TERJUAL])</f>
        <v>119</v>
      </c>
      <c r="I41" s="143">
        <f>(Table2423256789[HARGA JUAL]*Table2423256789[TERJUAL])-(Table2423256789[HARGA POKOK]*Table2423256789[TERJUAL])</f>
        <v>5500</v>
      </c>
      <c r="J41" s="143">
        <f>(Table2423256789[HARGA JUAL]*Table2423256789[TERJUAL])</f>
        <v>40000</v>
      </c>
      <c r="K41" s="143">
        <f>Table2423256789[HARGA JUAL]*Table2423256789[SISA]</f>
        <v>4760000</v>
      </c>
      <c r="L41" s="144">
        <f>Table2423256789[HARGA POKOK]*Table2423256789[STOK]</f>
        <v>4140000</v>
      </c>
      <c r="M41" s="144">
        <f>Table2423256789[HARGA JUAL]*Table2423256789[STOK]</f>
        <v>4800000</v>
      </c>
      <c r="N41" s="145"/>
    </row>
    <row r="42" spans="1:14" x14ac:dyDescent="0.25">
      <c r="A42" s="137">
        <v>38</v>
      </c>
      <c r="B42" s="138" t="s">
        <v>31</v>
      </c>
      <c r="C42" s="138" t="s">
        <v>64</v>
      </c>
      <c r="D42" s="140">
        <v>24000</v>
      </c>
      <c r="E42" s="140">
        <v>40000</v>
      </c>
      <c r="F42" s="141">
        <v>3</v>
      </c>
      <c r="G42" s="142"/>
      <c r="H42" s="141">
        <f>(Table2423256789[STOK])-(Table2423256789[TERJUAL])</f>
        <v>3</v>
      </c>
      <c r="I42" s="143">
        <f>(Table2423256789[HARGA JUAL]*Table2423256789[TERJUAL])-(Table2423256789[HARGA POKOK]*Table2423256789[TERJUAL])</f>
        <v>0</v>
      </c>
      <c r="J42" s="143">
        <f>(Table2423256789[HARGA JUAL]*Table2423256789[TERJUAL])</f>
        <v>0</v>
      </c>
      <c r="K42" s="143">
        <f>Table2423256789[HARGA JUAL]*Table2423256789[SISA]</f>
        <v>120000</v>
      </c>
      <c r="L42" s="144">
        <f>Table2423256789[HARGA POKOK]*Table2423256789[STOK]</f>
        <v>72000</v>
      </c>
      <c r="M42" s="144">
        <f>Table2423256789[HARGA JUAL]*Table2423256789[STOK]</f>
        <v>120000</v>
      </c>
      <c r="N42" s="145"/>
    </row>
    <row r="43" spans="1:14" x14ac:dyDescent="0.25">
      <c r="A43" s="137">
        <v>39</v>
      </c>
      <c r="B43" s="138" t="s">
        <v>31</v>
      </c>
      <c r="C43" s="138" t="s">
        <v>138</v>
      </c>
      <c r="D43" s="140">
        <v>34000</v>
      </c>
      <c r="E43" s="140">
        <v>40000</v>
      </c>
      <c r="F43" s="141">
        <v>3</v>
      </c>
      <c r="G43" s="142">
        <v>1</v>
      </c>
      <c r="H43" s="141">
        <f>(Table2423256789[STOK])-(Table2423256789[TERJUAL])</f>
        <v>2</v>
      </c>
      <c r="I43" s="143">
        <f>(Table2423256789[HARGA JUAL]*Table2423256789[TERJUAL])-(Table2423256789[HARGA POKOK]*Table2423256789[TERJUAL])</f>
        <v>6000</v>
      </c>
      <c r="J43" s="143">
        <f>(Table2423256789[HARGA JUAL]*Table2423256789[TERJUAL])</f>
        <v>40000</v>
      </c>
      <c r="K43" s="143">
        <f>Table2423256789[HARGA JUAL]*Table2423256789[SISA]</f>
        <v>80000</v>
      </c>
      <c r="L43" s="144">
        <f>Table2423256789[HARGA POKOK]*Table2423256789[STOK]</f>
        <v>102000</v>
      </c>
      <c r="M43" s="144">
        <f>Table2423256789[HARGA JUAL]*Table2423256789[STOK]</f>
        <v>120000</v>
      </c>
      <c r="N43" s="145"/>
    </row>
    <row r="44" spans="1:14" x14ac:dyDescent="0.25">
      <c r="A44" s="137">
        <v>40</v>
      </c>
      <c r="B44" s="138" t="s">
        <v>31</v>
      </c>
      <c r="C44" s="138" t="s">
        <v>182</v>
      </c>
      <c r="D44" s="140">
        <v>20000</v>
      </c>
      <c r="E44" s="140">
        <v>40000</v>
      </c>
      <c r="F44" s="141">
        <v>5</v>
      </c>
      <c r="G44" s="142">
        <v>4</v>
      </c>
      <c r="H44" s="141">
        <f>(Table2423256789[STOK])-(Table2423256789[TERJUAL])</f>
        <v>1</v>
      </c>
      <c r="I44" s="143">
        <f>(Table2423256789[HARGA JUAL]*Table2423256789[TERJUAL])-(Table2423256789[HARGA POKOK]*Table2423256789[TERJUAL])</f>
        <v>80000</v>
      </c>
      <c r="J44" s="143">
        <f>(Table2423256789[HARGA JUAL]*Table2423256789[TERJUAL])</f>
        <v>160000</v>
      </c>
      <c r="K44" s="143">
        <f>Table2423256789[HARGA JUAL]*Table2423256789[SISA]</f>
        <v>40000</v>
      </c>
      <c r="L44" s="144">
        <f>Table2423256789[HARGA POKOK]*Table2423256789[STOK]</f>
        <v>100000</v>
      </c>
      <c r="M44" s="144">
        <f>Table2423256789[HARGA JUAL]*Table2423256789[STOK]</f>
        <v>200000</v>
      </c>
      <c r="N44" s="145"/>
    </row>
    <row r="45" spans="1:14" x14ac:dyDescent="0.25">
      <c r="A45" s="137">
        <v>41</v>
      </c>
      <c r="B45" s="138" t="s">
        <v>31</v>
      </c>
      <c r="C45" s="138" t="s">
        <v>67</v>
      </c>
      <c r="D45" s="140">
        <v>27500</v>
      </c>
      <c r="E45" s="140">
        <v>40000</v>
      </c>
      <c r="F45" s="141">
        <v>25</v>
      </c>
      <c r="G45" s="142">
        <v>6</v>
      </c>
      <c r="H45" s="141">
        <f>(Table2423256789[STOK])-(Table2423256789[TERJUAL])</f>
        <v>19</v>
      </c>
      <c r="I45" s="143">
        <f>(Table2423256789[HARGA JUAL]*Table2423256789[TERJUAL])-(Table2423256789[HARGA POKOK]*Table2423256789[TERJUAL])</f>
        <v>75000</v>
      </c>
      <c r="J45" s="143">
        <f>(Table2423256789[HARGA JUAL]*Table2423256789[TERJUAL])</f>
        <v>240000</v>
      </c>
      <c r="K45" s="143">
        <f>Table2423256789[HARGA JUAL]*Table2423256789[SISA]</f>
        <v>760000</v>
      </c>
      <c r="L45" s="144">
        <f>Table2423256789[HARGA POKOK]*Table2423256789[STOK]</f>
        <v>687500</v>
      </c>
      <c r="M45" s="144">
        <f>Table2423256789[HARGA JUAL]*Table2423256789[STOK]</f>
        <v>1000000</v>
      </c>
      <c r="N45" s="145"/>
    </row>
    <row r="46" spans="1:14" x14ac:dyDescent="0.25">
      <c r="A46" s="137">
        <v>42</v>
      </c>
      <c r="B46" s="138" t="s">
        <v>31</v>
      </c>
      <c r="C46" s="138" t="s">
        <v>140</v>
      </c>
      <c r="D46" s="140">
        <v>15000</v>
      </c>
      <c r="E46" s="140">
        <v>30000</v>
      </c>
      <c r="F46" s="141">
        <v>4</v>
      </c>
      <c r="G46" s="142">
        <v>1</v>
      </c>
      <c r="H46" s="141">
        <f>(Table2423256789[STOK])-(Table2423256789[TERJUAL])</f>
        <v>3</v>
      </c>
      <c r="I46" s="143">
        <f>(Table2423256789[HARGA JUAL]*Table2423256789[TERJUAL])-(Table2423256789[HARGA POKOK]*Table2423256789[TERJUAL])</f>
        <v>15000</v>
      </c>
      <c r="J46" s="143">
        <f>(Table2423256789[HARGA JUAL]*Table2423256789[TERJUAL])</f>
        <v>30000</v>
      </c>
      <c r="K46" s="143">
        <f>Table2423256789[HARGA JUAL]*Table2423256789[SISA]</f>
        <v>90000</v>
      </c>
      <c r="L46" s="144">
        <f>Table2423256789[HARGA POKOK]*Table2423256789[STOK]</f>
        <v>60000</v>
      </c>
      <c r="M46" s="144">
        <f>Table2423256789[HARGA JUAL]*Table2423256789[STOK]</f>
        <v>120000</v>
      </c>
      <c r="N46" s="145"/>
    </row>
    <row r="47" spans="1:14" x14ac:dyDescent="0.25">
      <c r="A47" s="137">
        <v>43</v>
      </c>
      <c r="B47" s="138" t="s">
        <v>31</v>
      </c>
      <c r="C47" s="138" t="s">
        <v>137</v>
      </c>
      <c r="D47" s="140">
        <v>190000</v>
      </c>
      <c r="E47" s="140">
        <v>200000</v>
      </c>
      <c r="F47" s="141">
        <v>12</v>
      </c>
      <c r="G47" s="142">
        <v>12</v>
      </c>
      <c r="H47" s="141">
        <f>(Table2423256789[STOK])-(Table2423256789[TERJUAL])</f>
        <v>0</v>
      </c>
      <c r="I47" s="143">
        <f>(Table2423256789[HARGA JUAL]*Table2423256789[TERJUAL])-(Table2423256789[HARGA POKOK]*Table2423256789[TERJUAL])</f>
        <v>120000</v>
      </c>
      <c r="J47" s="143">
        <f>(Table2423256789[HARGA JUAL]*Table2423256789[TERJUAL])</f>
        <v>2400000</v>
      </c>
      <c r="K47" s="143">
        <f>Table2423256789[HARGA JUAL]*Table2423256789[SISA]</f>
        <v>0</v>
      </c>
      <c r="L47" s="144">
        <f>Table2423256789[HARGA POKOK]*Table2423256789[STOK]</f>
        <v>2280000</v>
      </c>
      <c r="M47" s="144">
        <f>Table2423256789[HARGA JUAL]*Table2423256789[STOK]</f>
        <v>2400000</v>
      </c>
      <c r="N47" s="145"/>
    </row>
    <row r="48" spans="1:14" x14ac:dyDescent="0.25">
      <c r="A48" s="137">
        <v>44</v>
      </c>
      <c r="B48" s="138" t="s">
        <v>31</v>
      </c>
      <c r="C48" s="138" t="s">
        <v>139</v>
      </c>
      <c r="D48" s="140">
        <v>16000</v>
      </c>
      <c r="E48" s="140">
        <v>25000</v>
      </c>
      <c r="F48" s="141">
        <v>7</v>
      </c>
      <c r="G48" s="142">
        <v>1</v>
      </c>
      <c r="H48" s="141">
        <f>(Table2423256789[STOK])-(Table2423256789[TERJUAL])</f>
        <v>6</v>
      </c>
      <c r="I48" s="143">
        <f>(Table2423256789[HARGA JUAL]*Table2423256789[TERJUAL])-(Table2423256789[HARGA POKOK]*Table2423256789[TERJUAL])</f>
        <v>9000</v>
      </c>
      <c r="J48" s="143">
        <f>(Table2423256789[HARGA JUAL]*Table2423256789[TERJUAL])</f>
        <v>25000</v>
      </c>
      <c r="K48" s="143">
        <f>Table2423256789[HARGA JUAL]*Table2423256789[SISA]</f>
        <v>150000</v>
      </c>
      <c r="L48" s="144">
        <f>Table2423256789[HARGA POKOK]*Table2423256789[STOK]</f>
        <v>112000</v>
      </c>
      <c r="M48" s="144">
        <f>Table2423256789[HARGA JUAL]*Table2423256789[STOK]</f>
        <v>175000</v>
      </c>
      <c r="N48" s="145"/>
    </row>
    <row r="49" spans="1:14" x14ac:dyDescent="0.25">
      <c r="A49" s="137">
        <v>45</v>
      </c>
      <c r="B49" s="138" t="s">
        <v>31</v>
      </c>
      <c r="C49" s="138" t="s">
        <v>134</v>
      </c>
      <c r="D49" s="140">
        <v>18000</v>
      </c>
      <c r="E49" s="140">
        <v>30000</v>
      </c>
      <c r="F49" s="141">
        <v>8</v>
      </c>
      <c r="G49" s="142">
        <v>1</v>
      </c>
      <c r="H49" s="141">
        <f>(Table2423256789[STOK])-(Table2423256789[TERJUAL])</f>
        <v>7</v>
      </c>
      <c r="I49" s="143">
        <f>(Table2423256789[HARGA JUAL]*Table2423256789[TERJUAL])-(Table2423256789[HARGA POKOK]*Table2423256789[TERJUAL])</f>
        <v>12000</v>
      </c>
      <c r="J49" s="143">
        <f>(Table2423256789[HARGA JUAL]*Table2423256789[TERJUAL])</f>
        <v>30000</v>
      </c>
      <c r="K49" s="143">
        <f>Table2423256789[HARGA JUAL]*Table2423256789[SISA]</f>
        <v>210000</v>
      </c>
      <c r="L49" s="144">
        <f>Table2423256789[HARGA POKOK]*Table2423256789[STOK]</f>
        <v>144000</v>
      </c>
      <c r="M49" s="144">
        <f>Table2423256789[HARGA JUAL]*Table2423256789[STOK]</f>
        <v>240000</v>
      </c>
      <c r="N49" s="145"/>
    </row>
    <row r="50" spans="1:14" x14ac:dyDescent="0.25">
      <c r="A50" s="137">
        <v>46</v>
      </c>
      <c r="B50" s="138" t="s">
        <v>31</v>
      </c>
      <c r="C50" s="138" t="s">
        <v>183</v>
      </c>
      <c r="D50" s="140">
        <v>18000</v>
      </c>
      <c r="E50" s="140">
        <v>30000</v>
      </c>
      <c r="F50" s="141">
        <v>4</v>
      </c>
      <c r="G50" s="142">
        <v>2</v>
      </c>
      <c r="H50" s="141">
        <f>(Table2423256789[STOK])-(Table2423256789[TERJUAL])</f>
        <v>2</v>
      </c>
      <c r="I50" s="143">
        <f>(Table2423256789[HARGA JUAL]*Table2423256789[TERJUAL])-(Table2423256789[HARGA POKOK]*Table2423256789[TERJUAL])</f>
        <v>24000</v>
      </c>
      <c r="J50" s="143">
        <f>(Table2423256789[HARGA JUAL]*Table2423256789[TERJUAL])</f>
        <v>60000</v>
      </c>
      <c r="K50" s="143">
        <f>Table2423256789[HARGA JUAL]*Table2423256789[SISA]</f>
        <v>60000</v>
      </c>
      <c r="L50" s="144">
        <f>Table2423256789[HARGA POKOK]*Table2423256789[STOK]</f>
        <v>72000</v>
      </c>
      <c r="M50" s="144">
        <f>Table2423256789[HARGA JUAL]*Table2423256789[STOK]</f>
        <v>120000</v>
      </c>
      <c r="N50" s="145"/>
    </row>
    <row r="51" spans="1:14" x14ac:dyDescent="0.25">
      <c r="A51" s="137">
        <v>47</v>
      </c>
      <c r="B51" s="138" t="s">
        <v>31</v>
      </c>
      <c r="C51" s="138" t="s">
        <v>184</v>
      </c>
      <c r="D51" s="140">
        <v>12500</v>
      </c>
      <c r="E51" s="140">
        <v>30000</v>
      </c>
      <c r="F51" s="141">
        <v>114</v>
      </c>
      <c r="G51" s="142">
        <v>3</v>
      </c>
      <c r="H51" s="141">
        <f>(Table2423256789[STOK])-(Table2423256789[TERJUAL])</f>
        <v>111</v>
      </c>
      <c r="I51" s="143">
        <f>(Table2423256789[HARGA JUAL]*Table2423256789[TERJUAL])-(Table2423256789[HARGA POKOK]*Table2423256789[TERJUAL])</f>
        <v>52500</v>
      </c>
      <c r="J51" s="143">
        <f>(Table2423256789[HARGA JUAL]*Table2423256789[TERJUAL])</f>
        <v>90000</v>
      </c>
      <c r="K51" s="143">
        <f>Table2423256789[HARGA JUAL]*Table2423256789[SISA]</f>
        <v>3330000</v>
      </c>
      <c r="L51" s="144">
        <f>Table2423256789[HARGA POKOK]*Table2423256789[STOK]</f>
        <v>1425000</v>
      </c>
      <c r="M51" s="144">
        <f>Table2423256789[HARGA JUAL]*Table2423256789[STOK]</f>
        <v>3420000</v>
      </c>
      <c r="N51" s="145"/>
    </row>
    <row r="52" spans="1:14" x14ac:dyDescent="0.25">
      <c r="A52" s="137">
        <v>48</v>
      </c>
      <c r="B52" s="138" t="s">
        <v>31</v>
      </c>
      <c r="C52" s="138" t="s">
        <v>185</v>
      </c>
      <c r="D52" s="140">
        <v>28500</v>
      </c>
      <c r="E52" s="140">
        <v>40000</v>
      </c>
      <c r="F52" s="141">
        <v>67</v>
      </c>
      <c r="G52" s="142">
        <v>10</v>
      </c>
      <c r="H52" s="141">
        <f>(Table2423256789[STOK])-(Table2423256789[TERJUAL])</f>
        <v>57</v>
      </c>
      <c r="I52" s="143">
        <f>(Table2423256789[HARGA JUAL]*Table2423256789[TERJUAL])-(Table2423256789[HARGA POKOK]*Table2423256789[TERJUAL])</f>
        <v>115000</v>
      </c>
      <c r="J52" s="143">
        <f>(Table2423256789[HARGA JUAL]*Table2423256789[TERJUAL])</f>
        <v>400000</v>
      </c>
      <c r="K52" s="143">
        <f>Table2423256789[HARGA JUAL]*Table2423256789[SISA]</f>
        <v>2280000</v>
      </c>
      <c r="L52" s="144">
        <f>Table2423256789[HARGA POKOK]*Table2423256789[STOK]</f>
        <v>1909500</v>
      </c>
      <c r="M52" s="144">
        <f>Table2423256789[HARGA JUAL]*Table2423256789[STOK]</f>
        <v>2680000</v>
      </c>
      <c r="N52" s="145"/>
    </row>
    <row r="53" spans="1:14" x14ac:dyDescent="0.25">
      <c r="A53" s="137">
        <v>49</v>
      </c>
      <c r="B53" s="138" t="s">
        <v>31</v>
      </c>
      <c r="C53" s="138" t="s">
        <v>186</v>
      </c>
      <c r="D53" s="140">
        <v>48500</v>
      </c>
      <c r="E53" s="140">
        <v>65000</v>
      </c>
      <c r="F53" s="141">
        <v>10</v>
      </c>
      <c r="G53" s="142"/>
      <c r="H53" s="141">
        <f>(Table2423256789[STOK])-(Table2423256789[TERJUAL])</f>
        <v>10</v>
      </c>
      <c r="I53" s="143">
        <f>(Table2423256789[HARGA JUAL]*Table2423256789[TERJUAL])-(Table2423256789[HARGA POKOK]*Table2423256789[TERJUAL])</f>
        <v>0</v>
      </c>
      <c r="J53" s="143">
        <f>(Table2423256789[HARGA JUAL]*Table2423256789[TERJUAL])</f>
        <v>0</v>
      </c>
      <c r="K53" s="143">
        <f>Table2423256789[HARGA JUAL]*Table2423256789[SISA]</f>
        <v>650000</v>
      </c>
      <c r="L53" s="144">
        <f>Table2423256789[HARGA POKOK]*Table2423256789[STOK]</f>
        <v>485000</v>
      </c>
      <c r="M53" s="144">
        <f>Table2423256789[HARGA JUAL]*Table2423256789[STOK]</f>
        <v>650000</v>
      </c>
      <c r="N53" s="145"/>
    </row>
    <row r="54" spans="1:14" x14ac:dyDescent="0.25">
      <c r="A54" s="137">
        <v>50</v>
      </c>
      <c r="B54" s="138" t="s">
        <v>31</v>
      </c>
      <c r="C54" s="138" t="s">
        <v>187</v>
      </c>
      <c r="D54" s="140">
        <v>47500</v>
      </c>
      <c r="E54" s="140">
        <v>65000</v>
      </c>
      <c r="F54" s="141">
        <v>80</v>
      </c>
      <c r="G54" s="142">
        <v>2</v>
      </c>
      <c r="H54" s="141">
        <f>(Table2423256789[STOK])-(Table2423256789[TERJUAL])</f>
        <v>78</v>
      </c>
      <c r="I54" s="143">
        <f>(Table2423256789[HARGA JUAL]*Table2423256789[TERJUAL])-(Table2423256789[HARGA POKOK]*Table2423256789[TERJUAL])</f>
        <v>35000</v>
      </c>
      <c r="J54" s="143">
        <f>(Table2423256789[HARGA JUAL]*Table2423256789[TERJUAL])</f>
        <v>130000</v>
      </c>
      <c r="K54" s="143">
        <f>Table2423256789[HARGA JUAL]*Table2423256789[SISA]</f>
        <v>5070000</v>
      </c>
      <c r="L54" s="144">
        <f>Table2423256789[HARGA POKOK]*Table2423256789[STOK]</f>
        <v>3800000</v>
      </c>
      <c r="M54" s="144">
        <f>Table2423256789[HARGA JUAL]*Table2423256789[STOK]</f>
        <v>5200000</v>
      </c>
      <c r="N54" s="145"/>
    </row>
    <row r="55" spans="1:14" x14ac:dyDescent="0.25">
      <c r="A55" s="137">
        <v>51</v>
      </c>
      <c r="B55" s="138" t="s">
        <v>32</v>
      </c>
      <c r="C55" s="138" t="s">
        <v>18</v>
      </c>
      <c r="D55" s="140">
        <v>1700</v>
      </c>
      <c r="E55" s="140">
        <v>5000</v>
      </c>
      <c r="F55" s="141">
        <v>43</v>
      </c>
      <c r="G55" s="142">
        <v>25</v>
      </c>
      <c r="H55" s="141">
        <f>(Table2423256789[STOK])-(Table2423256789[TERJUAL])</f>
        <v>18</v>
      </c>
      <c r="I55" s="143">
        <f>(Table2423256789[HARGA JUAL]*Table2423256789[TERJUAL])-(Table2423256789[HARGA POKOK]*Table2423256789[TERJUAL])</f>
        <v>82500</v>
      </c>
      <c r="J55" s="143">
        <f>(Table2423256789[HARGA JUAL]*Table2423256789[TERJUAL])</f>
        <v>125000</v>
      </c>
      <c r="K55" s="143">
        <f>Table2423256789[HARGA JUAL]*Table2423256789[SISA]</f>
        <v>90000</v>
      </c>
      <c r="L55" s="144">
        <f>Table2423256789[HARGA POKOK]*Table2423256789[STOK]</f>
        <v>73100</v>
      </c>
      <c r="M55" s="144">
        <f>Table2423256789[HARGA JUAL]*Table2423256789[STOK]</f>
        <v>215000</v>
      </c>
      <c r="N55" s="145"/>
    </row>
    <row r="56" spans="1:14" x14ac:dyDescent="0.25">
      <c r="A56" s="137">
        <v>52</v>
      </c>
      <c r="B56" s="138" t="s">
        <v>32</v>
      </c>
      <c r="C56" s="138" t="s">
        <v>21</v>
      </c>
      <c r="D56" s="140">
        <v>30000</v>
      </c>
      <c r="E56" s="140">
        <v>45000</v>
      </c>
      <c r="F56" s="141"/>
      <c r="G56" s="142"/>
      <c r="H56" s="141">
        <f>(Table2423256789[STOK])-(Table2423256789[TERJUAL])</f>
        <v>0</v>
      </c>
      <c r="I56" s="143">
        <f>(Table2423256789[HARGA JUAL]*Table2423256789[TERJUAL])-(Table2423256789[HARGA POKOK]*Table2423256789[TERJUAL])</f>
        <v>0</v>
      </c>
      <c r="J56" s="143">
        <f>(Table2423256789[HARGA JUAL]*Table2423256789[TERJUAL])</f>
        <v>0</v>
      </c>
      <c r="K56" s="143">
        <f>Table2423256789[HARGA JUAL]*Table2423256789[SISA]</f>
        <v>0</v>
      </c>
      <c r="L56" s="144">
        <f>Table2423256789[HARGA POKOK]*Table2423256789[STOK]</f>
        <v>0</v>
      </c>
      <c r="M56" s="144">
        <f>Table2423256789[HARGA JUAL]*Table2423256789[STOK]</f>
        <v>0</v>
      </c>
      <c r="N56" s="145"/>
    </row>
    <row r="57" spans="1:14" x14ac:dyDescent="0.25">
      <c r="A57" s="137">
        <v>53</v>
      </c>
      <c r="B57" s="138" t="s">
        <v>32</v>
      </c>
      <c r="C57" s="138" t="s">
        <v>20</v>
      </c>
      <c r="D57" s="140">
        <v>1500</v>
      </c>
      <c r="E57" s="140">
        <v>5000</v>
      </c>
      <c r="F57" s="141"/>
      <c r="G57" s="142"/>
      <c r="H57" s="141">
        <f>(Table2423256789[STOK])-(Table2423256789[TERJUAL])</f>
        <v>0</v>
      </c>
      <c r="I57" s="143">
        <f>(Table2423256789[HARGA JUAL]*Table2423256789[TERJUAL])-(Table2423256789[HARGA POKOK]*Table2423256789[TERJUAL])</f>
        <v>0</v>
      </c>
      <c r="J57" s="143">
        <f>(Table2423256789[HARGA JUAL]*Table2423256789[TERJUAL])</f>
        <v>0</v>
      </c>
      <c r="K57" s="143">
        <f>Table2423256789[HARGA JUAL]*Table2423256789[SISA]</f>
        <v>0</v>
      </c>
      <c r="L57" s="144">
        <f>Table2423256789[HARGA POKOK]*Table2423256789[STOK]</f>
        <v>0</v>
      </c>
      <c r="M57" s="144">
        <f>Table2423256789[HARGA JUAL]*Table2423256789[STOK]</f>
        <v>0</v>
      </c>
      <c r="N57" s="145"/>
    </row>
    <row r="58" spans="1:14" x14ac:dyDescent="0.25">
      <c r="A58" s="137">
        <v>54</v>
      </c>
      <c r="B58" s="138" t="s">
        <v>32</v>
      </c>
      <c r="C58" s="138" t="s">
        <v>23</v>
      </c>
      <c r="D58" s="140">
        <v>30000</v>
      </c>
      <c r="E58" s="140">
        <v>40000</v>
      </c>
      <c r="F58" s="141">
        <v>1</v>
      </c>
      <c r="G58" s="142">
        <v>1</v>
      </c>
      <c r="H58" s="141">
        <f>(Table2423256789[STOK])-(Table2423256789[TERJUAL])</f>
        <v>0</v>
      </c>
      <c r="I58" s="143">
        <f>(Table2423256789[HARGA JUAL]*Table2423256789[TERJUAL])-(Table2423256789[HARGA POKOK]*Table2423256789[TERJUAL])</f>
        <v>10000</v>
      </c>
      <c r="J58" s="143">
        <f>(Table2423256789[HARGA JUAL]*Table2423256789[TERJUAL])</f>
        <v>40000</v>
      </c>
      <c r="K58" s="143">
        <f>Table2423256789[HARGA JUAL]*Table2423256789[SISA]</f>
        <v>0</v>
      </c>
      <c r="L58" s="144">
        <f>Table2423256789[HARGA POKOK]*Table2423256789[STOK]</f>
        <v>30000</v>
      </c>
      <c r="M58" s="144">
        <f>Table2423256789[HARGA JUAL]*Table2423256789[STOK]</f>
        <v>40000</v>
      </c>
      <c r="N58" s="145"/>
    </row>
    <row r="59" spans="1:14" x14ac:dyDescent="0.25">
      <c r="A59" s="137">
        <v>55</v>
      </c>
      <c r="B59" s="138" t="s">
        <v>32</v>
      </c>
      <c r="C59" s="138" t="s">
        <v>19</v>
      </c>
      <c r="D59" s="140">
        <v>1600</v>
      </c>
      <c r="E59" s="140">
        <v>5000</v>
      </c>
      <c r="F59" s="141">
        <v>47</v>
      </c>
      <c r="G59" s="142">
        <v>25</v>
      </c>
      <c r="H59" s="141">
        <f>(Table2423256789[STOK])-(Table2423256789[TERJUAL])</f>
        <v>22</v>
      </c>
      <c r="I59" s="143">
        <f>(Table2423256789[HARGA JUAL]*Table2423256789[TERJUAL])-(Table2423256789[HARGA POKOK]*Table2423256789[TERJUAL])</f>
        <v>85000</v>
      </c>
      <c r="J59" s="143">
        <f>(Table2423256789[HARGA JUAL]*Table2423256789[TERJUAL])</f>
        <v>125000</v>
      </c>
      <c r="K59" s="143">
        <f>Table2423256789[HARGA JUAL]*Table2423256789[SISA]</f>
        <v>110000</v>
      </c>
      <c r="L59" s="144">
        <f>Table2423256789[HARGA POKOK]*Table2423256789[STOK]</f>
        <v>75200</v>
      </c>
      <c r="M59" s="144">
        <f>Table2423256789[HARGA JUAL]*Table2423256789[STOK]</f>
        <v>235000</v>
      </c>
      <c r="N59" s="145"/>
    </row>
    <row r="60" spans="1:14" x14ac:dyDescent="0.25">
      <c r="A60" s="137">
        <v>56</v>
      </c>
      <c r="B60" s="138" t="s">
        <v>32</v>
      </c>
      <c r="C60" s="138" t="s">
        <v>22</v>
      </c>
      <c r="D60" s="140">
        <v>30000</v>
      </c>
      <c r="E60" s="140">
        <v>40000</v>
      </c>
      <c r="F60" s="141"/>
      <c r="G60" s="142"/>
      <c r="H60" s="141">
        <f>(Table2423256789[STOK])-(Table2423256789[TERJUAL])</f>
        <v>0</v>
      </c>
      <c r="I60" s="143">
        <f>(Table2423256789[HARGA JUAL]*Table2423256789[TERJUAL])-(Table2423256789[HARGA POKOK]*Table2423256789[TERJUAL])</f>
        <v>0</v>
      </c>
      <c r="J60" s="143">
        <f>(Table2423256789[HARGA JUAL]*Table2423256789[TERJUAL])</f>
        <v>0</v>
      </c>
      <c r="K60" s="143">
        <f>Table2423256789[HARGA JUAL]*Table2423256789[SISA]</f>
        <v>0</v>
      </c>
      <c r="L60" s="144">
        <f>Table2423256789[HARGA POKOK]*Table2423256789[STOK]</f>
        <v>0</v>
      </c>
      <c r="M60" s="144">
        <f>Table2423256789[HARGA JUAL]*Table2423256789[STOK]</f>
        <v>0</v>
      </c>
      <c r="N60" s="145"/>
    </row>
    <row r="61" spans="1:14" x14ac:dyDescent="0.25">
      <c r="A61" s="137">
        <v>57</v>
      </c>
      <c r="B61" s="138" t="s">
        <v>32</v>
      </c>
      <c r="C61" s="138" t="s">
        <v>24</v>
      </c>
      <c r="D61" s="140">
        <v>17500</v>
      </c>
      <c r="E61" s="140">
        <v>40000</v>
      </c>
      <c r="F61" s="141">
        <v>7</v>
      </c>
      <c r="G61" s="142">
        <v>6</v>
      </c>
      <c r="H61" s="141">
        <f>(Table2423256789[STOK])-(Table2423256789[TERJUAL])</f>
        <v>1</v>
      </c>
      <c r="I61" s="143">
        <f>(Table2423256789[HARGA JUAL]*Table2423256789[TERJUAL])-(Table2423256789[HARGA POKOK]*Table2423256789[TERJUAL])</f>
        <v>135000</v>
      </c>
      <c r="J61" s="143">
        <f>(Table2423256789[HARGA JUAL]*Table2423256789[TERJUAL])</f>
        <v>240000</v>
      </c>
      <c r="K61" s="143">
        <f>Table2423256789[HARGA JUAL]*Table2423256789[SISA]</f>
        <v>40000</v>
      </c>
      <c r="L61" s="144">
        <f>Table2423256789[HARGA POKOK]*Table2423256789[STOK]</f>
        <v>122500</v>
      </c>
      <c r="M61" s="144">
        <f>Table2423256789[HARGA JUAL]*Table2423256789[STOK]</f>
        <v>280000</v>
      </c>
      <c r="N61" s="145"/>
    </row>
    <row r="62" spans="1:14" x14ac:dyDescent="0.25">
      <c r="A62" s="137">
        <v>58</v>
      </c>
      <c r="B62" s="138" t="s">
        <v>144</v>
      </c>
      <c r="C62" s="138" t="s">
        <v>145</v>
      </c>
      <c r="D62" s="140">
        <v>3000</v>
      </c>
      <c r="E62" s="140">
        <v>6000</v>
      </c>
      <c r="F62" s="141">
        <v>80</v>
      </c>
      <c r="G62" s="142">
        <v>14</v>
      </c>
      <c r="H62" s="141">
        <f>(Table2423256789[STOK])-(Table2423256789[TERJUAL])</f>
        <v>66</v>
      </c>
      <c r="I62" s="143">
        <f>(Table2423256789[HARGA JUAL]*Table2423256789[TERJUAL])-(Table2423256789[HARGA POKOK]*Table2423256789[TERJUAL])</f>
        <v>42000</v>
      </c>
      <c r="J62" s="143">
        <f>(Table2423256789[HARGA JUAL]*Table2423256789[TERJUAL])</f>
        <v>84000</v>
      </c>
      <c r="K62" s="143">
        <f>Table2423256789[HARGA JUAL]*Table2423256789[SISA]</f>
        <v>396000</v>
      </c>
      <c r="L62" s="144">
        <f>Table2423256789[HARGA POKOK]*Table2423256789[STOK]</f>
        <v>240000</v>
      </c>
      <c r="M62" s="144">
        <f>Table2423256789[HARGA JUAL]*Table2423256789[STOK]</f>
        <v>480000</v>
      </c>
      <c r="N62" s="145"/>
    </row>
    <row r="63" spans="1:14" x14ac:dyDescent="0.25">
      <c r="A63" s="137">
        <v>59</v>
      </c>
      <c r="B63" s="138" t="s">
        <v>33</v>
      </c>
      <c r="C63" s="138" t="s">
        <v>188</v>
      </c>
      <c r="D63" s="140">
        <v>325000</v>
      </c>
      <c r="E63" s="140">
        <v>475000</v>
      </c>
      <c r="F63" s="141">
        <v>50</v>
      </c>
      <c r="G63" s="142">
        <v>11</v>
      </c>
      <c r="H63" s="141">
        <f>(Table2423256789[STOK])-(Table2423256789[TERJUAL])</f>
        <v>39</v>
      </c>
      <c r="I63" s="143">
        <f>(Table2423256789[HARGA JUAL]*Table2423256789[TERJUAL])-(Table2423256789[HARGA POKOK]*Table2423256789[TERJUAL])</f>
        <v>1650000</v>
      </c>
      <c r="J63" s="143">
        <f>(Table2423256789[HARGA JUAL]*Table2423256789[TERJUAL])</f>
        <v>5225000</v>
      </c>
      <c r="K63" s="143">
        <f>Table2423256789[HARGA JUAL]*Table2423256789[SISA]</f>
        <v>18525000</v>
      </c>
      <c r="L63" s="144">
        <f>Table2423256789[HARGA POKOK]*Table2423256789[STOK]</f>
        <v>16250000</v>
      </c>
      <c r="M63" s="144">
        <f>Table2423256789[HARGA JUAL]*Table2423256789[STOK]</f>
        <v>23750000</v>
      </c>
      <c r="N63" s="145"/>
    </row>
    <row r="64" spans="1:14" x14ac:dyDescent="0.25">
      <c r="A64" s="137">
        <v>60</v>
      </c>
      <c r="B64" s="138" t="s">
        <v>33</v>
      </c>
      <c r="C64" s="138" t="s">
        <v>189</v>
      </c>
      <c r="D64" s="140">
        <v>452000</v>
      </c>
      <c r="E64" s="140">
        <v>560000</v>
      </c>
      <c r="F64" s="141">
        <v>8</v>
      </c>
      <c r="G64" s="142"/>
      <c r="H64" s="141">
        <f>(Table2423256789[STOK])-(Table2423256789[TERJUAL])</f>
        <v>8</v>
      </c>
      <c r="I64" s="143">
        <f>(Table2423256789[HARGA JUAL]*Table2423256789[TERJUAL])-(Table2423256789[HARGA POKOK]*Table2423256789[TERJUAL])</f>
        <v>0</v>
      </c>
      <c r="J64" s="143">
        <f>(Table2423256789[HARGA JUAL]*Table2423256789[TERJUAL])</f>
        <v>0</v>
      </c>
      <c r="K64" s="143">
        <f>Table2423256789[HARGA JUAL]*Table2423256789[SISA]</f>
        <v>4480000</v>
      </c>
      <c r="L64" s="144">
        <f>Table2423256789[HARGA POKOK]*Table2423256789[STOK]</f>
        <v>3616000</v>
      </c>
      <c r="M64" s="144">
        <f>Table2423256789[HARGA JUAL]*Table2423256789[STOK]</f>
        <v>4480000</v>
      </c>
      <c r="N64" s="145"/>
    </row>
    <row r="65" spans="1:14" x14ac:dyDescent="0.25">
      <c r="A65" s="137">
        <v>61</v>
      </c>
      <c r="B65" s="138" t="s">
        <v>192</v>
      </c>
      <c r="C65" s="138" t="s">
        <v>142</v>
      </c>
      <c r="D65" s="140">
        <v>310000</v>
      </c>
      <c r="E65" s="140">
        <v>435000</v>
      </c>
      <c r="F65" s="141">
        <v>2</v>
      </c>
      <c r="G65" s="142"/>
      <c r="H65" s="141">
        <f>(Table2423256789[STOK])-(Table2423256789[TERJUAL])</f>
        <v>2</v>
      </c>
      <c r="I65" s="143">
        <f>(Table2423256789[HARGA JUAL]*Table2423256789[TERJUAL])-(Table2423256789[HARGA POKOK]*Table2423256789[TERJUAL])</f>
        <v>0</v>
      </c>
      <c r="J65" s="143">
        <f>(Table2423256789[HARGA JUAL]*Table2423256789[TERJUAL])</f>
        <v>0</v>
      </c>
      <c r="K65" s="143">
        <f>Table2423256789[HARGA JUAL]*Table2423256789[SISA]</f>
        <v>870000</v>
      </c>
      <c r="L65" s="144">
        <f>Table2423256789[HARGA POKOK]*Table2423256789[STOK]</f>
        <v>620000</v>
      </c>
      <c r="M65" s="144">
        <f>Table2423256789[HARGA JUAL]*Table2423256789[STOK]</f>
        <v>870000</v>
      </c>
      <c r="N65" s="145"/>
    </row>
    <row r="66" spans="1:14" x14ac:dyDescent="0.25">
      <c r="A66" s="137">
        <v>62</v>
      </c>
      <c r="B66" s="138" t="s">
        <v>192</v>
      </c>
      <c r="C66" s="138" t="s">
        <v>190</v>
      </c>
      <c r="D66" s="140">
        <v>280000</v>
      </c>
      <c r="E66" s="140">
        <v>475000</v>
      </c>
      <c r="F66" s="141">
        <v>0</v>
      </c>
      <c r="G66" s="142"/>
      <c r="H66" s="141">
        <f>(Table2423256789[STOK])-(Table2423256789[TERJUAL])</f>
        <v>0</v>
      </c>
      <c r="I66" s="143">
        <f>(Table2423256789[HARGA JUAL]*Table2423256789[TERJUAL])-(Table2423256789[HARGA POKOK]*Table2423256789[TERJUAL])</f>
        <v>0</v>
      </c>
      <c r="J66" s="143">
        <f>(Table2423256789[HARGA JUAL]*Table2423256789[TERJUAL])</f>
        <v>0</v>
      </c>
      <c r="K66" s="143">
        <f>Table2423256789[HARGA JUAL]*Table2423256789[SISA]</f>
        <v>0</v>
      </c>
      <c r="L66" s="144">
        <f>Table2423256789[HARGA POKOK]*Table2423256789[STOK]</f>
        <v>0</v>
      </c>
      <c r="M66" s="144">
        <f>Table2423256789[HARGA JUAL]*Table2423256789[STOK]</f>
        <v>0</v>
      </c>
      <c r="N66" s="145"/>
    </row>
    <row r="67" spans="1:14" x14ac:dyDescent="0.25">
      <c r="A67" s="137">
        <v>63</v>
      </c>
      <c r="B67" s="138" t="s">
        <v>193</v>
      </c>
      <c r="C67" s="138" t="s">
        <v>191</v>
      </c>
      <c r="D67" s="140">
        <v>8800</v>
      </c>
      <c r="E67" s="140">
        <v>15000</v>
      </c>
      <c r="F67" s="141">
        <v>33</v>
      </c>
      <c r="G67" s="142">
        <v>19</v>
      </c>
      <c r="H67" s="141">
        <f>(Table2423256789[STOK])-(Table2423256789[TERJUAL])</f>
        <v>14</v>
      </c>
      <c r="I67" s="143">
        <f>(Table2423256789[HARGA JUAL]*Table2423256789[TERJUAL])-(Table2423256789[HARGA POKOK]*Table2423256789[TERJUAL])</f>
        <v>117800</v>
      </c>
      <c r="J67" s="143">
        <f>(Table2423256789[HARGA JUAL]*Table2423256789[TERJUAL])</f>
        <v>285000</v>
      </c>
      <c r="K67" s="143">
        <f>Table2423256789[HARGA JUAL]*Table2423256789[SISA]</f>
        <v>210000</v>
      </c>
      <c r="L67" s="144">
        <f>Table2423256789[HARGA POKOK]*Table2423256789[STOK]</f>
        <v>290400</v>
      </c>
      <c r="M67" s="144">
        <f>Table2423256789[HARGA JUAL]*Table2423256789[STOK]</f>
        <v>495000</v>
      </c>
      <c r="N67" s="145"/>
    </row>
    <row r="68" spans="1:14" x14ac:dyDescent="0.25">
      <c r="A68" s="137">
        <v>64</v>
      </c>
      <c r="B68" s="138" t="s">
        <v>193</v>
      </c>
      <c r="C68" s="138" t="s">
        <v>214</v>
      </c>
      <c r="D68" s="140">
        <v>8700</v>
      </c>
      <c r="E68" s="140">
        <v>15000</v>
      </c>
      <c r="F68" s="141">
        <v>31</v>
      </c>
      <c r="G68" s="142">
        <v>10</v>
      </c>
      <c r="H68" s="141">
        <f>(Table2423256789[STOK])-(Table2423256789[TERJUAL])</f>
        <v>21</v>
      </c>
      <c r="I68" s="143">
        <f>(Table2423256789[HARGA JUAL]*Table2423256789[TERJUAL])-(Table2423256789[HARGA POKOK]*Table2423256789[TERJUAL])</f>
        <v>63000</v>
      </c>
      <c r="J68" s="143">
        <f>(Table2423256789[HARGA JUAL]*Table2423256789[TERJUAL])</f>
        <v>150000</v>
      </c>
      <c r="K68" s="143">
        <f>Table2423256789[HARGA JUAL]*Table2423256789[SISA]</f>
        <v>315000</v>
      </c>
      <c r="L68" s="144">
        <f>Table2423256789[HARGA POKOK]*Table2423256789[STOK]</f>
        <v>269700</v>
      </c>
      <c r="M68" s="144">
        <f>Table2423256789[HARGA JUAL]*Table2423256789[STOK]</f>
        <v>465000</v>
      </c>
      <c r="N68" s="145"/>
    </row>
    <row r="69" spans="1:14" x14ac:dyDescent="0.25">
      <c r="A69" s="137">
        <v>65</v>
      </c>
      <c r="B69" s="138" t="s">
        <v>206</v>
      </c>
      <c r="C69" s="138" t="s">
        <v>207</v>
      </c>
      <c r="D69" s="140">
        <v>12000</v>
      </c>
      <c r="E69" s="140">
        <v>28000</v>
      </c>
      <c r="F69" s="141">
        <v>9</v>
      </c>
      <c r="G69" s="142">
        <v>4</v>
      </c>
      <c r="H69" s="141">
        <f>(Table2423256789[STOK])-(Table2423256789[TERJUAL])</f>
        <v>5</v>
      </c>
      <c r="I69" s="143">
        <f>(Table2423256789[HARGA JUAL]*Table2423256789[TERJUAL])-(Table2423256789[HARGA POKOK]*Table2423256789[TERJUAL])</f>
        <v>64000</v>
      </c>
      <c r="J69" s="143">
        <f>(Table2423256789[HARGA JUAL]*Table2423256789[TERJUAL])</f>
        <v>112000</v>
      </c>
      <c r="K69" s="143">
        <f>Table2423256789[HARGA JUAL]*Table2423256789[SISA]</f>
        <v>140000</v>
      </c>
      <c r="L69" s="144">
        <f>Table2423256789[HARGA POKOK]*Table2423256789[STOK]</f>
        <v>108000</v>
      </c>
      <c r="M69" s="144">
        <f>Table2423256789[HARGA JUAL]*Table2423256789[STOK]</f>
        <v>252000</v>
      </c>
      <c r="N69" s="145"/>
    </row>
    <row r="70" spans="1:14" x14ac:dyDescent="0.25">
      <c r="A70" s="137">
        <v>66</v>
      </c>
      <c r="B70" s="138" t="s">
        <v>206</v>
      </c>
      <c r="C70" s="138" t="s">
        <v>208</v>
      </c>
      <c r="D70" s="140">
        <v>21000</v>
      </c>
      <c r="E70" s="140">
        <v>40000</v>
      </c>
      <c r="F70" s="141">
        <v>10</v>
      </c>
      <c r="G70" s="142">
        <v>3</v>
      </c>
      <c r="H70" s="141">
        <f>(Table2423256789[STOK])-(Table2423256789[TERJUAL])</f>
        <v>7</v>
      </c>
      <c r="I70" s="143">
        <f>(Table2423256789[HARGA JUAL]*Table2423256789[TERJUAL])-(Table2423256789[HARGA POKOK]*Table2423256789[TERJUAL])</f>
        <v>57000</v>
      </c>
      <c r="J70" s="143">
        <f>(Table2423256789[HARGA JUAL]*Table2423256789[TERJUAL])</f>
        <v>120000</v>
      </c>
      <c r="K70" s="143">
        <f>Table2423256789[HARGA JUAL]*Table2423256789[SISA]</f>
        <v>280000</v>
      </c>
      <c r="L70" s="144">
        <f>Table2423256789[HARGA POKOK]*Table2423256789[STOK]</f>
        <v>210000</v>
      </c>
      <c r="M70" s="144">
        <f>Table2423256789[HARGA JUAL]*Table2423256789[STOK]</f>
        <v>400000</v>
      </c>
      <c r="N70" s="145"/>
    </row>
    <row r="71" spans="1:14" x14ac:dyDescent="0.25">
      <c r="A71" s="137">
        <v>67</v>
      </c>
      <c r="B71" s="138" t="s">
        <v>209</v>
      </c>
      <c r="C71" s="138" t="s">
        <v>210</v>
      </c>
      <c r="D71" s="140">
        <v>20000</v>
      </c>
      <c r="E71" s="140">
        <v>40000</v>
      </c>
      <c r="F71" s="141">
        <v>10</v>
      </c>
      <c r="G71" s="142"/>
      <c r="H71" s="141">
        <f>(Table2423256789[STOK])-(Table2423256789[TERJUAL])</f>
        <v>10</v>
      </c>
      <c r="I71" s="143">
        <f>(Table2423256789[HARGA JUAL]*Table2423256789[TERJUAL])-(Table2423256789[HARGA POKOK]*Table2423256789[TERJUAL])</f>
        <v>0</v>
      </c>
      <c r="J71" s="143">
        <f>(Table2423256789[HARGA JUAL]*Table2423256789[TERJUAL])</f>
        <v>0</v>
      </c>
      <c r="K71" s="143">
        <f>Table2423256789[HARGA JUAL]*Table2423256789[SISA]</f>
        <v>400000</v>
      </c>
      <c r="L71" s="144">
        <f>Table2423256789[HARGA POKOK]*Table2423256789[STOK]</f>
        <v>200000</v>
      </c>
      <c r="M71" s="144">
        <f>Table2423256789[HARGA JUAL]*Table2423256789[STOK]</f>
        <v>400000</v>
      </c>
      <c r="N71" s="145"/>
    </row>
    <row r="72" spans="1:14" x14ac:dyDescent="0.25">
      <c r="A72" s="137">
        <v>68</v>
      </c>
      <c r="B72" s="138" t="s">
        <v>209</v>
      </c>
      <c r="C72" s="138" t="s">
        <v>211</v>
      </c>
      <c r="D72" s="140">
        <v>26000</v>
      </c>
      <c r="E72" s="140">
        <v>45000</v>
      </c>
      <c r="F72" s="141">
        <v>10</v>
      </c>
      <c r="G72" s="142"/>
      <c r="H72" s="141">
        <f>(Table2423256789[STOK])-(Table2423256789[TERJUAL])</f>
        <v>10</v>
      </c>
      <c r="I72" s="143">
        <f>(Table2423256789[HARGA JUAL]*Table2423256789[TERJUAL])-(Table2423256789[HARGA POKOK]*Table2423256789[TERJUAL])</f>
        <v>0</v>
      </c>
      <c r="J72" s="143">
        <f>(Table2423256789[HARGA JUAL]*Table2423256789[TERJUAL])</f>
        <v>0</v>
      </c>
      <c r="K72" s="143">
        <f>Table2423256789[HARGA JUAL]*Table2423256789[SISA]</f>
        <v>450000</v>
      </c>
      <c r="L72" s="144">
        <f>Table2423256789[HARGA POKOK]*Table2423256789[STOK]</f>
        <v>260000</v>
      </c>
      <c r="M72" s="144">
        <f>Table2423256789[HARGA JUAL]*Table2423256789[STOK]</f>
        <v>450000</v>
      </c>
      <c r="N72" s="145"/>
    </row>
    <row r="73" spans="1:14" x14ac:dyDescent="0.25">
      <c r="A73" s="137">
        <v>69</v>
      </c>
      <c r="B73" s="138" t="s">
        <v>212</v>
      </c>
      <c r="C73" s="138" t="s">
        <v>213</v>
      </c>
      <c r="D73" s="140">
        <v>600000</v>
      </c>
      <c r="E73" s="140">
        <v>800000</v>
      </c>
      <c r="F73" s="141">
        <v>3</v>
      </c>
      <c r="G73" s="142"/>
      <c r="H73" s="141">
        <f>(Table2423256789[STOK])-(Table2423256789[TERJUAL])</f>
        <v>3</v>
      </c>
      <c r="I73" s="143">
        <f>(Table2423256789[HARGA JUAL]*Table2423256789[TERJUAL])-(Table2423256789[HARGA POKOK]*Table2423256789[TERJUAL])</f>
        <v>0</v>
      </c>
      <c r="J73" s="143">
        <f>(Table2423256789[HARGA JUAL]*Table2423256789[TERJUAL])</f>
        <v>0</v>
      </c>
      <c r="K73" s="143">
        <f>Table2423256789[HARGA JUAL]*Table2423256789[SISA]</f>
        <v>2400000</v>
      </c>
      <c r="L73" s="144">
        <f>Table2423256789[HARGA POKOK]*Table2423256789[STOK]</f>
        <v>1800000</v>
      </c>
      <c r="M73" s="144">
        <f>Table2423256789[HARGA JUAL]*Table2423256789[STOK]</f>
        <v>2400000</v>
      </c>
      <c r="N73" s="145"/>
    </row>
    <row r="74" spans="1:14" x14ac:dyDescent="0.25">
      <c r="A74" s="192">
        <v>70</v>
      </c>
      <c r="B74" s="193" t="s">
        <v>194</v>
      </c>
      <c r="C74" s="193" t="s">
        <v>194</v>
      </c>
      <c r="D74" s="194">
        <v>30000</v>
      </c>
      <c r="E74" s="194">
        <v>40000</v>
      </c>
      <c r="F74" s="195">
        <v>13</v>
      </c>
      <c r="G74" s="196">
        <v>1</v>
      </c>
      <c r="H74" s="195">
        <f>(Table2423256789[STOK])-(Table2423256789[TERJUAL])</f>
        <v>12</v>
      </c>
      <c r="I74" s="197">
        <f>(Table2423256789[HARGA JUAL]*Table2423256789[TERJUAL])-(Table2423256789[HARGA POKOK]*Table2423256789[TERJUAL])</f>
        <v>10000</v>
      </c>
      <c r="J74" s="197">
        <f>(Table2423256789[HARGA JUAL]*Table2423256789[TERJUAL])</f>
        <v>40000</v>
      </c>
      <c r="K74" s="197"/>
      <c r="L74" s="198"/>
      <c r="M74" s="198"/>
      <c r="N74" s="199"/>
    </row>
    <row r="75" spans="1:14" x14ac:dyDescent="0.25">
      <c r="A75" s="137">
        <v>71</v>
      </c>
      <c r="B75" s="146" t="s">
        <v>195</v>
      </c>
      <c r="C75" s="146" t="s">
        <v>195</v>
      </c>
      <c r="D75" s="147">
        <v>30000</v>
      </c>
      <c r="E75" s="147">
        <v>40000</v>
      </c>
      <c r="F75" s="148">
        <v>13</v>
      </c>
      <c r="G75" s="149">
        <v>13</v>
      </c>
      <c r="H75" s="148">
        <f>(Table2423256789[STOK])-(Table2423256789[TERJUAL])</f>
        <v>0</v>
      </c>
      <c r="I75" s="150">
        <f>(Table2423256789[HARGA JUAL]*Table2423256789[TERJUAL])-(Table2423256789[HARGA POKOK]*Table2423256789[TERJUAL])</f>
        <v>130000</v>
      </c>
      <c r="J75" s="150">
        <f>(Table2423256789[HARGA JUAL]*Table2423256789[TERJUAL])</f>
        <v>520000</v>
      </c>
      <c r="K75" s="150">
        <f>Table2423256789[HARGA JUAL]*Table2423256789[SISA]</f>
        <v>0</v>
      </c>
      <c r="L75" s="151">
        <f>Table2423256789[HARGA POKOK]*Table2423256789[STOK]</f>
        <v>390000</v>
      </c>
      <c r="M75" s="151">
        <f>Table2423256789[HARGA JUAL]*Table2423256789[STOK]</f>
        <v>520000</v>
      </c>
      <c r="N75" s="152"/>
    </row>
    <row r="76" spans="1:14" x14ac:dyDescent="0.25">
      <c r="A76" s="192">
        <v>72</v>
      </c>
      <c r="B76" s="193" t="s">
        <v>215</v>
      </c>
      <c r="C76" s="193" t="s">
        <v>215</v>
      </c>
      <c r="D76" s="194">
        <v>310000</v>
      </c>
      <c r="E76" s="194">
        <v>410000</v>
      </c>
      <c r="F76" s="195">
        <v>5</v>
      </c>
      <c r="G76" s="196">
        <v>4</v>
      </c>
      <c r="H76" s="195">
        <f>(Table2423256789[STOK])-(Table2423256789[TERJUAL])</f>
        <v>1</v>
      </c>
      <c r="I76" s="197">
        <f>(Table2423256789[HARGA JUAL]*Table2423256789[TERJUAL])-(Table2423256789[HARGA POKOK]*Table2423256789[TERJUAL])</f>
        <v>400000</v>
      </c>
      <c r="J76" s="197">
        <f>(Table2423256789[HARGA JUAL]*Table2423256789[TERJUAL])</f>
        <v>1640000</v>
      </c>
      <c r="K76" s="197">
        <f>Table2423256789[HARGA JUAL]*Table2423256789[SISA]</f>
        <v>410000</v>
      </c>
      <c r="L76" s="198">
        <f>Table2423256789[HARGA POKOK]*Table2423256789[STOK]</f>
        <v>1550000</v>
      </c>
      <c r="M76" s="198">
        <f>Table2423256789[HARGA JUAL]*Table2423256789[STOK]</f>
        <v>2050000</v>
      </c>
      <c r="N76" s="199"/>
    </row>
    <row r="77" spans="1:14" s="180" customFormat="1" x14ac:dyDescent="0.25">
      <c r="A77" s="137">
        <v>73</v>
      </c>
      <c r="B77" s="153" t="s">
        <v>212</v>
      </c>
      <c r="C77" s="153" t="s">
        <v>213</v>
      </c>
      <c r="D77" s="154">
        <v>6000</v>
      </c>
      <c r="E77" s="154">
        <v>8000</v>
      </c>
      <c r="F77" s="155">
        <v>100</v>
      </c>
      <c r="G77" s="178">
        <v>14</v>
      </c>
      <c r="H77" s="155">
        <f>(Table2423256789[STOK])-(Table2423256789[TERJUAL])</f>
        <v>86</v>
      </c>
      <c r="I77" s="157">
        <f>(Table2423256789[HARGA JUAL]*Table2423256789[TERJUAL])-(Table2423256789[HARGA POKOK]*Table2423256789[TERJUAL])</f>
        <v>28000</v>
      </c>
      <c r="J77" s="157">
        <f>(Table2423256789[HARGA JUAL]*Table2423256789[TERJUAL])</f>
        <v>112000</v>
      </c>
      <c r="K77" s="157"/>
      <c r="L77" s="158"/>
      <c r="M77" s="158"/>
      <c r="N77" s="179"/>
    </row>
    <row r="78" spans="1:14" s="180" customFormat="1" x14ac:dyDescent="0.25">
      <c r="A78" s="137">
        <v>74</v>
      </c>
      <c r="B78" s="153" t="s">
        <v>71</v>
      </c>
      <c r="C78" s="153" t="s">
        <v>194</v>
      </c>
      <c r="D78" s="154">
        <v>1200</v>
      </c>
      <c r="E78" s="154">
        <v>2000</v>
      </c>
      <c r="F78" s="155"/>
      <c r="G78" s="156">
        <v>35</v>
      </c>
      <c r="H78" s="155">
        <f>(Table2423256789[STOK])-(Table2423256789[TERJUAL])</f>
        <v>-35</v>
      </c>
      <c r="I78" s="157">
        <f>(Table2423256789[HARGA JUAL]*Table2423256789[TERJUAL])-(Table2423256789[HARGA POKOK]*Table2423256789[TERJUAL])</f>
        <v>28000</v>
      </c>
      <c r="J78" s="157">
        <f>(Table2423256789[HARGA JUAL]*Table2423256789[TERJUAL])</f>
        <v>70000</v>
      </c>
      <c r="K78" s="157"/>
      <c r="L78" s="158"/>
      <c r="M78" s="158"/>
      <c r="N78" s="179"/>
    </row>
    <row r="79" spans="1:14" s="180" customFormat="1" x14ac:dyDescent="0.25">
      <c r="A79" s="137">
        <v>75</v>
      </c>
      <c r="B79" s="153" t="s">
        <v>71</v>
      </c>
      <c r="C79" s="153" t="s">
        <v>195</v>
      </c>
      <c r="D79" s="154">
        <v>700</v>
      </c>
      <c r="E79" s="154">
        <v>1200</v>
      </c>
      <c r="F79" s="155"/>
      <c r="G79" s="156"/>
      <c r="H79" s="155">
        <f>(Table2423256789[STOK])-(Table2423256789[TERJUAL])</f>
        <v>0</v>
      </c>
      <c r="I79" s="157">
        <f>(Table2423256789[HARGA JUAL]*Table2423256789[TERJUAL])-(Table2423256789[HARGA POKOK]*Table2423256789[TERJUAL])</f>
        <v>0</v>
      </c>
      <c r="J79" s="157">
        <f>(Table2423256789[HARGA JUAL]*Table2423256789[TERJUAL])</f>
        <v>0</v>
      </c>
      <c r="K79" s="157"/>
      <c r="L79" s="158"/>
      <c r="M79" s="158"/>
      <c r="N79" s="179"/>
    </row>
    <row r="80" spans="1:14" s="180" customFormat="1" x14ac:dyDescent="0.25">
      <c r="A80" s="137">
        <v>76</v>
      </c>
      <c r="B80" s="153" t="s">
        <v>68</v>
      </c>
      <c r="C80" s="153" t="s">
        <v>69</v>
      </c>
      <c r="D80" s="159">
        <v>6300</v>
      </c>
      <c r="E80" s="154">
        <v>10000</v>
      </c>
      <c r="F80" s="155"/>
      <c r="G80" s="156">
        <v>1171</v>
      </c>
      <c r="H80" s="155">
        <f>(Table2423256789[STOK])-(Table2423256789[TERJUAL])</f>
        <v>-1171</v>
      </c>
      <c r="I80" s="157">
        <f>(Table2423256789[HARGA JUAL]*Table2423256789[TERJUAL])-(Table2423256789[HARGA POKOK]*Table2423256789[TERJUAL])</f>
        <v>4332700</v>
      </c>
      <c r="J80" s="157">
        <f>(Table2423256789[HARGA JUAL]*Table2423256789[TERJUAL])</f>
        <v>11710000</v>
      </c>
      <c r="K80" s="157"/>
      <c r="L80" s="158"/>
      <c r="M80" s="158"/>
      <c r="N80" s="179"/>
    </row>
    <row r="81" spans="1:14" s="180" customFormat="1" x14ac:dyDescent="0.25">
      <c r="A81" s="137">
        <v>77</v>
      </c>
      <c r="B81" s="153" t="s">
        <v>173</v>
      </c>
      <c r="C81" s="153" t="s">
        <v>174</v>
      </c>
      <c r="D81" s="159">
        <v>9040</v>
      </c>
      <c r="E81" s="154">
        <v>12000</v>
      </c>
      <c r="F81" s="155"/>
      <c r="G81" s="156">
        <v>29</v>
      </c>
      <c r="H81" s="155">
        <f>(Table2423256789[STOK])-(Table2423256789[TERJUAL])</f>
        <v>-29</v>
      </c>
      <c r="I81" s="157">
        <f>(Table2423256789[HARGA JUAL]*Table2423256789[TERJUAL])-(Table2423256789[HARGA POKOK]*Table2423256789[TERJUAL])</f>
        <v>85840</v>
      </c>
      <c r="J81" s="157">
        <f>(Table2423256789[HARGA JUAL]*Table2423256789[TERJUAL])</f>
        <v>348000</v>
      </c>
      <c r="K81" s="157"/>
      <c r="L81" s="158"/>
      <c r="M81" s="158"/>
      <c r="N81" s="179"/>
    </row>
    <row r="82" spans="1:14" s="180" customFormat="1" x14ac:dyDescent="0.25">
      <c r="A82" s="137">
        <v>78</v>
      </c>
      <c r="B82" s="153" t="s">
        <v>146</v>
      </c>
      <c r="C82" s="153" t="s">
        <v>152</v>
      </c>
      <c r="D82" s="159">
        <v>6200</v>
      </c>
      <c r="E82" s="154">
        <v>10000</v>
      </c>
      <c r="F82" s="155"/>
      <c r="G82" s="160" t="s">
        <v>231</v>
      </c>
      <c r="H82" s="155">
        <f>(Table2423256789[STOK])-(Table2423256789[TERJUAL])</f>
        <v>-57</v>
      </c>
      <c r="I82" s="157">
        <f>(Table2423256789[HARGA JUAL]*Table2423256789[TERJUAL])-(Table2423256789[HARGA POKOK]*Table2423256789[TERJUAL])</f>
        <v>216600</v>
      </c>
      <c r="J82" s="157">
        <f>(Table2423256789[HARGA JUAL]*Table2423256789[TERJUAL])</f>
        <v>570000</v>
      </c>
      <c r="K82" s="157"/>
      <c r="L82" s="158"/>
      <c r="M82" s="158"/>
      <c r="N82" s="179"/>
    </row>
    <row r="83" spans="1:14" s="180" customFormat="1" x14ac:dyDescent="0.25">
      <c r="A83" s="137">
        <v>79</v>
      </c>
      <c r="B83" s="153" t="s">
        <v>147</v>
      </c>
      <c r="C83" s="153" t="s">
        <v>153</v>
      </c>
      <c r="D83" s="159">
        <v>5600</v>
      </c>
      <c r="E83" s="154">
        <v>10000</v>
      </c>
      <c r="F83" s="155"/>
      <c r="G83" s="160"/>
      <c r="H83" s="155">
        <f>(Table2423256789[STOK])-(Table2423256789[TERJUAL])</f>
        <v>0</v>
      </c>
      <c r="I83" s="157">
        <f>(Table2423256789[HARGA JUAL]*Table2423256789[TERJUAL])-(Table2423256789[HARGA POKOK]*Table2423256789[TERJUAL])</f>
        <v>0</v>
      </c>
      <c r="J83" s="157">
        <f>(Table2423256789[HARGA JUAL]*Table2423256789[TERJUAL])</f>
        <v>0</v>
      </c>
      <c r="K83" s="157"/>
      <c r="L83" s="158"/>
      <c r="M83" s="158"/>
      <c r="N83" s="179"/>
    </row>
    <row r="84" spans="1:14" s="180" customFormat="1" x14ac:dyDescent="0.25">
      <c r="A84" s="137">
        <v>80</v>
      </c>
      <c r="B84" s="167" t="s">
        <v>204</v>
      </c>
      <c r="C84" s="167" t="s">
        <v>205</v>
      </c>
      <c r="D84" s="168">
        <v>13000</v>
      </c>
      <c r="E84" s="169">
        <v>15000</v>
      </c>
      <c r="F84" s="170"/>
      <c r="G84" s="171"/>
      <c r="H84" s="172">
        <f>(Table2423256789[STOK])-(Table2423256789[TERJUAL])</f>
        <v>0</v>
      </c>
      <c r="I84" s="173">
        <f>(Table2423256789[HARGA JUAL]*Table2423256789[TERJUAL])-(Table2423256789[HARGA POKOK]*Table2423256789[TERJUAL])</f>
        <v>0</v>
      </c>
      <c r="J84" s="173">
        <f>(Table2423256789[HARGA JUAL]*Table2423256789[TERJUAL])</f>
        <v>0</v>
      </c>
      <c r="K84" s="173"/>
      <c r="L84" s="174"/>
      <c r="M84" s="174"/>
      <c r="N84" s="181"/>
    </row>
    <row r="85" spans="1:14" ht="18.75" x14ac:dyDescent="0.25">
      <c r="A85" s="404" t="s">
        <v>8</v>
      </c>
      <c r="B85" s="404"/>
      <c r="C85" s="404"/>
      <c r="D85" s="404"/>
      <c r="E85" s="404"/>
      <c r="F85" s="39"/>
      <c r="G85" s="39"/>
      <c r="H85" s="40"/>
      <c r="I85" s="175">
        <f>SUM(I5:I84)</f>
        <v>11455940</v>
      </c>
      <c r="J85" s="176">
        <f>SUM(J5:J84)</f>
        <v>42122000</v>
      </c>
      <c r="K85" s="41">
        <f>SUBTOTAL(109,Table2423256789[TOTAL HARGA SISA BARANG])</f>
        <v>167322000</v>
      </c>
      <c r="L85" s="177">
        <f>SUM(L5:L84)</f>
        <v>147979900</v>
      </c>
      <c r="M85" s="42">
        <f>SUM(M5:M67)</f>
        <v>189657000</v>
      </c>
      <c r="N85" s="145"/>
    </row>
    <row r="86" spans="1:14" x14ac:dyDescent="0.25">
      <c r="B86" s="1"/>
      <c r="C86" s="3"/>
      <c r="G86" s="1"/>
      <c r="H86" s="11"/>
      <c r="I86" s="6"/>
      <c r="J86" s="6"/>
      <c r="K86" s="6"/>
      <c r="L86" s="1"/>
      <c r="M86" s="1"/>
    </row>
    <row r="87" spans="1:14" x14ac:dyDescent="0.25">
      <c r="A87" s="28"/>
      <c r="B87" s="28"/>
      <c r="C87" s="28"/>
      <c r="E87" s="386" t="s">
        <v>219</v>
      </c>
      <c r="F87" s="386"/>
      <c r="G87" s="386"/>
      <c r="H87" s="386"/>
      <c r="I87" s="386"/>
      <c r="J87" s="386"/>
      <c r="K87" s="190"/>
      <c r="L87" s="1"/>
      <c r="M87" s="1"/>
    </row>
    <row r="88" spans="1:14" x14ac:dyDescent="0.25">
      <c r="A88" s="162" t="s">
        <v>233</v>
      </c>
      <c r="B88" s="162"/>
      <c r="C88" s="162"/>
      <c r="D88" s="163"/>
      <c r="E88" s="161"/>
      <c r="F88" s="161"/>
      <c r="G88" s="387"/>
      <c r="H88" s="387"/>
      <c r="I88" s="28"/>
      <c r="J88" s="28"/>
      <c r="K88" s="28"/>
      <c r="L88" s="7"/>
    </row>
    <row r="89" spans="1:14" x14ac:dyDescent="0.25">
      <c r="A89" s="162" t="s">
        <v>232</v>
      </c>
      <c r="B89" s="162"/>
      <c r="C89" s="162"/>
      <c r="D89" s="163"/>
      <c r="E89" s="161"/>
      <c r="F89" s="161"/>
      <c r="G89" s="94"/>
      <c r="H89" s="94"/>
      <c r="I89" s="28"/>
      <c r="J89" s="28"/>
      <c r="K89" s="28"/>
      <c r="L89" s="28"/>
    </row>
    <row r="90" spans="1:14" x14ac:dyDescent="0.25">
      <c r="A90" s="162"/>
      <c r="B90" s="162"/>
      <c r="C90" s="162"/>
      <c r="D90" s="164"/>
      <c r="E90" s="28"/>
      <c r="F90" s="28"/>
      <c r="G90" s="28"/>
      <c r="H90" s="28"/>
      <c r="I90" s="28"/>
      <c r="J90" s="28"/>
      <c r="K90" s="28"/>
      <c r="L90" s="28"/>
      <c r="M90" s="7"/>
    </row>
    <row r="91" spans="1:14" x14ac:dyDescent="0.25">
      <c r="A91" s="28"/>
      <c r="B91" s="28"/>
      <c r="C91" s="28"/>
      <c r="E91" s="43" t="s">
        <v>82</v>
      </c>
      <c r="F91" s="44"/>
      <c r="G91" s="390">
        <f>SUBTOTAL(109,Table2423256789[TOTAL H. B. LAKU TERJUAL])</f>
        <v>42122000</v>
      </c>
      <c r="H91" s="390"/>
      <c r="I91" s="390"/>
      <c r="J91" s="43"/>
      <c r="K91" s="7"/>
      <c r="L91" s="27"/>
      <c r="M91" s="1"/>
    </row>
    <row r="92" spans="1:14" x14ac:dyDescent="0.25">
      <c r="A92" s="165" t="s">
        <v>198</v>
      </c>
      <c r="B92" s="28"/>
      <c r="C92" s="28"/>
      <c r="E92" s="43" t="s">
        <v>83</v>
      </c>
      <c r="F92" s="45" t="s">
        <v>84</v>
      </c>
      <c r="G92" s="391">
        <v>210000</v>
      </c>
      <c r="H92" s="391"/>
      <c r="I92" s="391"/>
      <c r="J92" s="43"/>
      <c r="K92" s="7"/>
      <c r="L92" s="27"/>
      <c r="M92" s="1"/>
    </row>
    <row r="93" spans="1:14" x14ac:dyDescent="0.25">
      <c r="A93" s="165" t="s">
        <v>199</v>
      </c>
      <c r="B93" s="1"/>
      <c r="C93" s="3"/>
      <c r="E93" s="43" t="s">
        <v>8</v>
      </c>
      <c r="F93" s="43"/>
      <c r="G93" s="392">
        <f>(G91-G92)</f>
        <v>41912000</v>
      </c>
      <c r="H93" s="392"/>
      <c r="I93" s="392"/>
      <c r="J93" s="43"/>
      <c r="K93" s="7"/>
      <c r="L93" s="27"/>
      <c r="M93" s="1"/>
    </row>
    <row r="94" spans="1:14" x14ac:dyDescent="0.25">
      <c r="A94" s="165" t="s">
        <v>200</v>
      </c>
      <c r="M94" s="1"/>
    </row>
    <row r="95" spans="1:14" x14ac:dyDescent="0.25">
      <c r="A95" s="165"/>
      <c r="M95" s="1"/>
    </row>
    <row r="96" spans="1:14" ht="18.75" x14ac:dyDescent="0.3">
      <c r="A96" s="360" t="s">
        <v>99</v>
      </c>
      <c r="B96" s="360"/>
      <c r="C96" s="360"/>
      <c r="D96" s="360"/>
    </row>
    <row r="97" spans="1:12" ht="18.75" x14ac:dyDescent="0.3">
      <c r="A97" s="360" t="s">
        <v>230</v>
      </c>
      <c r="B97" s="360"/>
      <c r="C97" s="360"/>
      <c r="D97" s="360"/>
    </row>
    <row r="98" spans="1:12" ht="18.75" x14ac:dyDescent="0.3">
      <c r="A98" s="360" t="s">
        <v>75</v>
      </c>
      <c r="B98" s="360"/>
      <c r="C98" s="360"/>
      <c r="D98" s="360"/>
    </row>
    <row r="99" spans="1:12" x14ac:dyDescent="0.25">
      <c r="E99" s="405"/>
      <c r="F99" s="405"/>
      <c r="G99" s="405"/>
      <c r="H99" s="405"/>
      <c r="I99" s="405"/>
    </row>
    <row r="100" spans="1:12" ht="15.75" x14ac:dyDescent="0.25">
      <c r="A100" s="356" t="s">
        <v>111</v>
      </c>
      <c r="B100" s="357"/>
      <c r="C100" s="356" t="s">
        <v>77</v>
      </c>
      <c r="D100" s="357"/>
      <c r="E100" s="7"/>
      <c r="F100" s="27"/>
      <c r="G100" s="7"/>
      <c r="H100" s="7"/>
      <c r="I100" s="191"/>
    </row>
    <row r="101" spans="1:12" ht="15.75" x14ac:dyDescent="0.25">
      <c r="A101" s="188" t="s">
        <v>103</v>
      </c>
      <c r="B101" s="189"/>
      <c r="C101" s="46"/>
      <c r="D101" s="203">
        <v>41912000</v>
      </c>
      <c r="E101" s="7"/>
      <c r="F101" s="27"/>
      <c r="G101" s="7"/>
      <c r="H101" s="7"/>
      <c r="I101" s="191"/>
    </row>
    <row r="102" spans="1:12" ht="15.75" x14ac:dyDescent="0.25">
      <c r="A102" s="354" t="s">
        <v>102</v>
      </c>
      <c r="B102" s="355"/>
      <c r="C102" s="46"/>
      <c r="D102" s="204"/>
      <c r="E102" s="7"/>
      <c r="F102" s="27"/>
      <c r="G102" s="7"/>
      <c r="H102" s="7"/>
      <c r="I102" s="191"/>
    </row>
    <row r="103" spans="1:12" ht="15.75" x14ac:dyDescent="0.25">
      <c r="A103" s="356" t="s">
        <v>104</v>
      </c>
      <c r="B103" s="357"/>
      <c r="C103" s="46"/>
      <c r="D103" s="203">
        <v>41912000</v>
      </c>
      <c r="E103" s="7"/>
      <c r="F103" s="27"/>
      <c r="G103" s="7"/>
      <c r="H103" s="7"/>
      <c r="I103" s="191"/>
    </row>
    <row r="104" spans="1:12" ht="15.75" x14ac:dyDescent="0.25">
      <c r="A104" s="350" t="s">
        <v>106</v>
      </c>
      <c r="B104" s="351"/>
      <c r="C104" s="46"/>
      <c r="D104" s="204">
        <v>30456060</v>
      </c>
      <c r="E104" s="7"/>
      <c r="F104" s="27"/>
      <c r="G104" s="7"/>
      <c r="H104" s="7"/>
      <c r="I104" s="191"/>
    </row>
    <row r="105" spans="1:12" ht="15.75" x14ac:dyDescent="0.25">
      <c r="A105" s="358" t="s">
        <v>161</v>
      </c>
      <c r="B105" s="359"/>
      <c r="C105" s="49"/>
      <c r="D105" s="205">
        <f>(D103-D104)</f>
        <v>11455940</v>
      </c>
    </row>
    <row r="106" spans="1:12" ht="15.75" x14ac:dyDescent="0.25">
      <c r="A106" s="358" t="s">
        <v>158</v>
      </c>
      <c r="B106" s="359"/>
      <c r="C106" s="49"/>
      <c r="D106" s="206">
        <v>70000</v>
      </c>
    </row>
    <row r="107" spans="1:12" ht="15.75" x14ac:dyDescent="0.25">
      <c r="A107" s="400" t="s">
        <v>162</v>
      </c>
      <c r="B107" s="401"/>
      <c r="C107" s="49"/>
      <c r="D107" s="205">
        <f>SUM(D105:D106)</f>
        <v>11525940</v>
      </c>
      <c r="F107" s="7"/>
      <c r="G107" s="7"/>
      <c r="I107" s="186"/>
      <c r="L107" s="183"/>
    </row>
    <row r="108" spans="1:12" ht="15.75" x14ac:dyDescent="0.25">
      <c r="A108" s="346" t="s">
        <v>105</v>
      </c>
      <c r="B108" s="347"/>
      <c r="C108" s="46"/>
      <c r="D108" s="207"/>
      <c r="I108" s="186"/>
      <c r="L108" s="183"/>
    </row>
    <row r="109" spans="1:12" ht="15.75" x14ac:dyDescent="0.25">
      <c r="A109" s="348" t="s">
        <v>97</v>
      </c>
      <c r="B109" s="349"/>
      <c r="C109" s="46">
        <v>2000000</v>
      </c>
      <c r="D109" s="204"/>
      <c r="I109" s="187"/>
      <c r="L109" s="183"/>
    </row>
    <row r="110" spans="1:12" ht="15.75" x14ac:dyDescent="0.25">
      <c r="A110" s="350" t="s">
        <v>98</v>
      </c>
      <c r="B110" s="351"/>
      <c r="C110" s="46">
        <v>400000</v>
      </c>
      <c r="D110" s="204"/>
      <c r="L110" s="183"/>
    </row>
    <row r="111" spans="1:12" ht="15.75" x14ac:dyDescent="0.25">
      <c r="A111" s="113" t="s">
        <v>235</v>
      </c>
      <c r="B111" s="113"/>
      <c r="C111" s="114">
        <v>1200000</v>
      </c>
      <c r="D111" s="208"/>
    </row>
    <row r="112" spans="1:12" ht="15.75" x14ac:dyDescent="0.25">
      <c r="A112" s="113" t="s">
        <v>234</v>
      </c>
      <c r="B112" s="113"/>
      <c r="C112" s="114">
        <v>260000</v>
      </c>
      <c r="D112" s="208"/>
    </row>
    <row r="113" spans="1:4" ht="15.75" x14ac:dyDescent="0.25">
      <c r="A113" s="352" t="s">
        <v>107</v>
      </c>
      <c r="B113" s="353"/>
      <c r="C113" s="51" t="s">
        <v>117</v>
      </c>
      <c r="D113" s="209">
        <f>SUM(C109:C112)</f>
        <v>3860000</v>
      </c>
    </row>
    <row r="114" spans="1:4" ht="15.75" x14ac:dyDescent="0.25">
      <c r="A114" s="344" t="s">
        <v>108</v>
      </c>
      <c r="B114" s="345"/>
      <c r="C114" s="51"/>
      <c r="D114" s="204"/>
    </row>
    <row r="115" spans="1:4" ht="15.75" x14ac:dyDescent="0.25">
      <c r="A115" s="346" t="s">
        <v>109</v>
      </c>
      <c r="B115" s="347"/>
      <c r="C115" s="48"/>
      <c r="D115" s="205">
        <f>(D107-D113)</f>
        <v>7665940</v>
      </c>
    </row>
  </sheetData>
  <mergeCells count="26">
    <mergeCell ref="A114:B114"/>
    <mergeCell ref="A115:B115"/>
    <mergeCell ref="A106:B106"/>
    <mergeCell ref="A107:B107"/>
    <mergeCell ref="A108:B108"/>
    <mergeCell ref="A109:B109"/>
    <mergeCell ref="A110:B110"/>
    <mergeCell ref="A113:B113"/>
    <mergeCell ref="A105:B105"/>
    <mergeCell ref="G92:I92"/>
    <mergeCell ref="G93:I93"/>
    <mergeCell ref="A96:D96"/>
    <mergeCell ref="A97:D97"/>
    <mergeCell ref="A98:D98"/>
    <mergeCell ref="E99:I99"/>
    <mergeCell ref="A100:B100"/>
    <mergeCell ref="C100:D100"/>
    <mergeCell ref="A102:B102"/>
    <mergeCell ref="A103:B103"/>
    <mergeCell ref="A104:B104"/>
    <mergeCell ref="G91:I91"/>
    <mergeCell ref="A1:N1"/>
    <mergeCell ref="A2:N2"/>
    <mergeCell ref="A85:E85"/>
    <mergeCell ref="E87:J87"/>
    <mergeCell ref="G88:H88"/>
  </mergeCells>
  <pageMargins left="0.7" right="0.7" top="0.75" bottom="0.75" header="0.3" footer="0.3"/>
  <pageSetup paperSize="256" scale="62" fitToHeight="0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4"/>
  <sheetViews>
    <sheetView topLeftCell="A76" workbookViewId="0">
      <selection activeCell="A118" sqref="A118:C124"/>
    </sheetView>
  </sheetViews>
  <sheetFormatPr defaultRowHeight="15" x14ac:dyDescent="0.25"/>
  <cols>
    <col min="1" max="1" width="6.42578125" customWidth="1"/>
    <col min="2" max="2" width="23.42578125" customWidth="1"/>
    <col min="3" max="3" width="28" customWidth="1"/>
    <col min="4" max="4" width="18.5703125" customWidth="1"/>
    <col min="5" max="5" width="15.42578125" customWidth="1"/>
    <col min="6" max="6" width="10.85546875" customWidth="1"/>
    <col min="7" max="7" width="13.7109375" customWidth="1"/>
    <col min="8" max="8" width="8.85546875" customWidth="1"/>
    <col min="9" max="9" width="20.5703125" customWidth="1"/>
    <col min="10" max="10" width="18.7109375" customWidth="1"/>
    <col min="11" max="11" width="22.28515625" customWidth="1"/>
    <col min="12" max="12" width="19" customWidth="1"/>
    <col min="13" max="13" width="21.7109375" customWidth="1"/>
  </cols>
  <sheetData>
    <row r="1" spans="1:14" ht="21" x14ac:dyDescent="0.35">
      <c r="A1" s="384" t="s">
        <v>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18.75" x14ac:dyDescent="0.3">
      <c r="A2" s="385" t="s">
        <v>236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1:14" x14ac:dyDescent="0.25">
      <c r="B3" s="1"/>
      <c r="C3" s="3"/>
      <c r="G3" s="1"/>
      <c r="H3" s="11"/>
      <c r="I3" s="6"/>
      <c r="J3" s="6"/>
      <c r="K3" s="6"/>
      <c r="L3" s="1"/>
      <c r="M3" s="1"/>
    </row>
    <row r="4" spans="1:14" ht="15.75" x14ac:dyDescent="0.25">
      <c r="A4" s="131" t="s">
        <v>0</v>
      </c>
      <c r="B4" s="132" t="s">
        <v>1</v>
      </c>
      <c r="C4" s="133" t="s">
        <v>2</v>
      </c>
      <c r="D4" s="132" t="s">
        <v>119</v>
      </c>
      <c r="E4" s="132" t="s">
        <v>3</v>
      </c>
      <c r="F4" s="134" t="s">
        <v>4</v>
      </c>
      <c r="G4" s="134" t="s">
        <v>5</v>
      </c>
      <c r="H4" s="135" t="s">
        <v>6</v>
      </c>
      <c r="I4" s="136" t="s">
        <v>7</v>
      </c>
      <c r="J4" s="136" t="s">
        <v>115</v>
      </c>
      <c r="K4" s="136" t="s">
        <v>92</v>
      </c>
      <c r="L4" s="134" t="s">
        <v>116</v>
      </c>
      <c r="M4" s="134" t="s">
        <v>81</v>
      </c>
      <c r="N4" s="134" t="s">
        <v>72</v>
      </c>
    </row>
    <row r="5" spans="1:14" x14ac:dyDescent="0.25">
      <c r="A5" s="137">
        <v>1</v>
      </c>
      <c r="B5" s="138" t="s">
        <v>27</v>
      </c>
      <c r="C5" s="138" t="s">
        <v>41</v>
      </c>
      <c r="D5" s="139">
        <v>75000</v>
      </c>
      <c r="E5" s="140">
        <v>97000</v>
      </c>
      <c r="F5" s="141">
        <v>146</v>
      </c>
      <c r="G5" s="142">
        <v>63</v>
      </c>
      <c r="H5" s="141">
        <f>(Table242325678910[STOK])-(Table242325678910[TERJUAL])</f>
        <v>83</v>
      </c>
      <c r="I5" s="143">
        <f>(Table242325678910[HARGA JUAL]*Table242325678910[TERJUAL])-(Table242325678910[HARGA POKOK]*Table242325678910[TERJUAL])</f>
        <v>1386000</v>
      </c>
      <c r="J5" s="143">
        <f>(Table242325678910[HARGA JUAL]*Table242325678910[TERJUAL])</f>
        <v>6111000</v>
      </c>
      <c r="K5" s="143">
        <f>Table242325678910[HARGA JUAL]*Table242325678910[SISA]</f>
        <v>8051000</v>
      </c>
      <c r="L5" s="144">
        <f>Table242325678910[HARGA POKOK]*Table242325678910[STOK]</f>
        <v>10950000</v>
      </c>
      <c r="M5" s="144">
        <f>Table242325678910[HARGA JUAL]*Table242325678910[STOK]</f>
        <v>14162000</v>
      </c>
      <c r="N5" s="145"/>
    </row>
    <row r="6" spans="1:14" x14ac:dyDescent="0.25">
      <c r="A6" s="137">
        <v>2</v>
      </c>
      <c r="B6" s="138" t="s">
        <v>27</v>
      </c>
      <c r="C6" s="138" t="s">
        <v>42</v>
      </c>
      <c r="D6" s="140">
        <v>60000</v>
      </c>
      <c r="E6" s="140">
        <v>80000</v>
      </c>
      <c r="F6" s="141">
        <v>124</v>
      </c>
      <c r="G6" s="142">
        <v>10</v>
      </c>
      <c r="H6" s="141">
        <f>(Table242325678910[STOK])-(Table242325678910[TERJUAL])</f>
        <v>114</v>
      </c>
      <c r="I6" s="143">
        <f>(Table242325678910[HARGA JUAL]*Table242325678910[TERJUAL])-(Table242325678910[HARGA POKOK]*Table242325678910[TERJUAL])</f>
        <v>200000</v>
      </c>
      <c r="J6" s="143">
        <f>(Table242325678910[HARGA JUAL]*Table242325678910[TERJUAL])</f>
        <v>800000</v>
      </c>
      <c r="K6" s="143">
        <f>Table242325678910[HARGA JUAL]*Table242325678910[SISA]</f>
        <v>9120000</v>
      </c>
      <c r="L6" s="144">
        <f>Table242325678910[HARGA POKOK]*Table242325678910[STOK]</f>
        <v>7440000</v>
      </c>
      <c r="M6" s="144">
        <f>Table242325678910[HARGA JUAL]*Table242325678910[STOK]</f>
        <v>9920000</v>
      </c>
      <c r="N6" s="145"/>
    </row>
    <row r="7" spans="1:14" x14ac:dyDescent="0.25">
      <c r="A7" s="137">
        <v>3</v>
      </c>
      <c r="B7" s="138" t="s">
        <v>27</v>
      </c>
      <c r="C7" s="138" t="s">
        <v>43</v>
      </c>
      <c r="D7" s="140">
        <v>52500</v>
      </c>
      <c r="E7" s="140">
        <v>70000</v>
      </c>
      <c r="F7" s="141">
        <v>28</v>
      </c>
      <c r="G7" s="142">
        <v>2</v>
      </c>
      <c r="H7" s="141">
        <f>(Table242325678910[STOK])-(Table242325678910[TERJUAL])</f>
        <v>26</v>
      </c>
      <c r="I7" s="143">
        <f>(Table242325678910[HARGA JUAL]*Table242325678910[TERJUAL])-(Table242325678910[HARGA POKOK]*Table242325678910[TERJUAL])</f>
        <v>35000</v>
      </c>
      <c r="J7" s="143">
        <f>(Table242325678910[HARGA JUAL]*Table242325678910[TERJUAL])</f>
        <v>140000</v>
      </c>
      <c r="K7" s="143">
        <f>Table242325678910[HARGA JUAL]*Table242325678910[SISA]</f>
        <v>1820000</v>
      </c>
      <c r="L7" s="144">
        <f>Table242325678910[HARGA POKOK]*Table242325678910[STOK]</f>
        <v>1470000</v>
      </c>
      <c r="M7" s="144">
        <f>Table242325678910[HARGA JUAL]*Table242325678910[STOK]</f>
        <v>1960000</v>
      </c>
      <c r="N7" s="145"/>
    </row>
    <row r="8" spans="1:14" x14ac:dyDescent="0.25">
      <c r="A8" s="137">
        <v>4</v>
      </c>
      <c r="B8" s="138" t="s">
        <v>27</v>
      </c>
      <c r="C8" s="138" t="s">
        <v>44</v>
      </c>
      <c r="D8" s="140">
        <v>65500</v>
      </c>
      <c r="E8" s="140">
        <v>82000</v>
      </c>
      <c r="F8" s="141">
        <v>80</v>
      </c>
      <c r="G8" s="142">
        <v>31</v>
      </c>
      <c r="H8" s="141">
        <f>(Table242325678910[STOK])-(Table242325678910[TERJUAL])</f>
        <v>49</v>
      </c>
      <c r="I8" s="143">
        <f>(Table242325678910[HARGA JUAL]*Table242325678910[TERJUAL])-(Table242325678910[HARGA POKOK]*Table242325678910[TERJUAL])</f>
        <v>511500</v>
      </c>
      <c r="J8" s="143">
        <f>(Table242325678910[HARGA JUAL]*Table242325678910[TERJUAL])</f>
        <v>2542000</v>
      </c>
      <c r="K8" s="143">
        <f>Table242325678910[HARGA JUAL]*Table242325678910[SISA]</f>
        <v>4018000</v>
      </c>
      <c r="L8" s="144">
        <f>Table242325678910[HARGA POKOK]*Table242325678910[STOK]</f>
        <v>5240000</v>
      </c>
      <c r="M8" s="144">
        <f>Table242325678910[HARGA JUAL]*Table242325678910[STOK]</f>
        <v>6560000</v>
      </c>
      <c r="N8" s="145"/>
    </row>
    <row r="9" spans="1:14" x14ac:dyDescent="0.25">
      <c r="A9" s="137">
        <v>5</v>
      </c>
      <c r="B9" s="138" t="s">
        <v>27</v>
      </c>
      <c r="C9" s="138" t="s">
        <v>45</v>
      </c>
      <c r="D9" s="140">
        <v>58500</v>
      </c>
      <c r="E9" s="140">
        <v>80000</v>
      </c>
      <c r="F9" s="141">
        <v>160</v>
      </c>
      <c r="G9" s="142">
        <v>2</v>
      </c>
      <c r="H9" s="141">
        <f>(Table242325678910[STOK])-(Table242325678910[TERJUAL])</f>
        <v>158</v>
      </c>
      <c r="I9" s="143">
        <f>(Table242325678910[HARGA JUAL]*Table242325678910[TERJUAL])-(Table242325678910[HARGA POKOK]*Table242325678910[TERJUAL])</f>
        <v>43000</v>
      </c>
      <c r="J9" s="143">
        <f>(Table242325678910[HARGA JUAL]*Table242325678910[TERJUAL])</f>
        <v>160000</v>
      </c>
      <c r="K9" s="143">
        <f>Table242325678910[HARGA JUAL]*Table242325678910[SISA]</f>
        <v>12640000</v>
      </c>
      <c r="L9" s="144">
        <f>Table242325678910[HARGA POKOK]*Table242325678910[STOK]</f>
        <v>9360000</v>
      </c>
      <c r="M9" s="144">
        <f>Table242325678910[HARGA JUAL]*Table242325678910[STOK]</f>
        <v>12800000</v>
      </c>
      <c r="N9" s="145"/>
    </row>
    <row r="10" spans="1:14" x14ac:dyDescent="0.25">
      <c r="A10" s="137">
        <v>6</v>
      </c>
      <c r="B10" s="138" t="s">
        <v>27</v>
      </c>
      <c r="C10" s="138" t="s">
        <v>46</v>
      </c>
      <c r="D10" s="140">
        <v>83500</v>
      </c>
      <c r="E10" s="140">
        <v>110000</v>
      </c>
      <c r="F10" s="141">
        <v>32</v>
      </c>
      <c r="G10" s="142">
        <v>2</v>
      </c>
      <c r="H10" s="141">
        <f>(Table242325678910[STOK])-(Table242325678910[TERJUAL])</f>
        <v>30</v>
      </c>
      <c r="I10" s="143">
        <f>(Table242325678910[HARGA JUAL]*Table242325678910[TERJUAL])-(Table242325678910[HARGA POKOK]*Table242325678910[TERJUAL])</f>
        <v>53000</v>
      </c>
      <c r="J10" s="143">
        <f>(Table242325678910[HARGA JUAL]*Table242325678910[TERJUAL])</f>
        <v>220000</v>
      </c>
      <c r="K10" s="143">
        <f>Table242325678910[HARGA JUAL]*Table242325678910[SISA]</f>
        <v>3300000</v>
      </c>
      <c r="L10" s="144">
        <f>Table242325678910[HARGA POKOK]*Table242325678910[STOK]</f>
        <v>2672000</v>
      </c>
      <c r="M10" s="144">
        <f>Table242325678910[HARGA JUAL]*Table242325678910[STOK]</f>
        <v>3520000</v>
      </c>
      <c r="N10" s="145"/>
    </row>
    <row r="11" spans="1:14" x14ac:dyDescent="0.25">
      <c r="A11" s="137">
        <v>7</v>
      </c>
      <c r="B11" s="138" t="s">
        <v>28</v>
      </c>
      <c r="C11" s="138" t="s">
        <v>38</v>
      </c>
      <c r="D11" s="140">
        <v>88500</v>
      </c>
      <c r="E11" s="140">
        <v>115000</v>
      </c>
      <c r="F11" s="141">
        <v>13</v>
      </c>
      <c r="G11" s="142">
        <v>1</v>
      </c>
      <c r="H11" s="141">
        <f>(Table242325678910[STOK])-(Table242325678910[TERJUAL])</f>
        <v>12</v>
      </c>
      <c r="I11" s="143">
        <f>(Table242325678910[HARGA JUAL]*Table242325678910[TERJUAL])-(Table242325678910[HARGA POKOK]*Table242325678910[TERJUAL])</f>
        <v>26500</v>
      </c>
      <c r="J11" s="143">
        <f>(Table242325678910[HARGA JUAL]*Table242325678910[TERJUAL])</f>
        <v>115000</v>
      </c>
      <c r="K11" s="143">
        <f>Table242325678910[HARGA JUAL]*Table242325678910[SISA]</f>
        <v>1380000</v>
      </c>
      <c r="L11" s="144">
        <f>Table242325678910[HARGA POKOK]*Table242325678910[STOK]</f>
        <v>1150500</v>
      </c>
      <c r="M11" s="144">
        <f>Table242325678910[HARGA JUAL]*Table242325678910[STOK]</f>
        <v>1495000</v>
      </c>
      <c r="N11" s="145"/>
    </row>
    <row r="12" spans="1:14" x14ac:dyDescent="0.25">
      <c r="A12" s="137">
        <v>8</v>
      </c>
      <c r="B12" s="138" t="s">
        <v>28</v>
      </c>
      <c r="C12" s="138" t="s">
        <v>10</v>
      </c>
      <c r="D12" s="140">
        <v>84000</v>
      </c>
      <c r="E12" s="140">
        <v>90000</v>
      </c>
      <c r="F12" s="141">
        <v>94</v>
      </c>
      <c r="G12" s="142">
        <v>7</v>
      </c>
      <c r="H12" s="141">
        <f>(Table242325678910[STOK])-(Table242325678910[TERJUAL])</f>
        <v>87</v>
      </c>
      <c r="I12" s="143">
        <f>(Table242325678910[HARGA JUAL]*Table242325678910[TERJUAL])-(Table242325678910[HARGA POKOK]*Table242325678910[TERJUAL])</f>
        <v>42000</v>
      </c>
      <c r="J12" s="143">
        <f>(Table242325678910[HARGA JUAL]*Table242325678910[TERJUAL])</f>
        <v>630000</v>
      </c>
      <c r="K12" s="143">
        <f>Table242325678910[HARGA JUAL]*Table242325678910[SISA]</f>
        <v>7830000</v>
      </c>
      <c r="L12" s="144">
        <f>Table242325678910[HARGA POKOK]*Table242325678910[STOK]</f>
        <v>7896000</v>
      </c>
      <c r="M12" s="144">
        <f>Table242325678910[HARGA JUAL]*Table242325678910[STOK]</f>
        <v>8460000</v>
      </c>
      <c r="N12" s="145"/>
    </row>
    <row r="13" spans="1:14" x14ac:dyDescent="0.25">
      <c r="A13" s="137">
        <v>9</v>
      </c>
      <c r="B13" s="138" t="s">
        <v>28</v>
      </c>
      <c r="C13" s="138" t="s">
        <v>11</v>
      </c>
      <c r="D13" s="140">
        <v>158500</v>
      </c>
      <c r="E13" s="140">
        <v>180000</v>
      </c>
      <c r="F13" s="141">
        <v>31</v>
      </c>
      <c r="G13" s="142">
        <v>7</v>
      </c>
      <c r="H13" s="141">
        <f>(Table242325678910[STOK])-(Table242325678910[TERJUAL])</f>
        <v>24</v>
      </c>
      <c r="I13" s="143">
        <f>(Table242325678910[HARGA JUAL]*Table242325678910[TERJUAL])-(Table242325678910[HARGA POKOK]*Table242325678910[TERJUAL])</f>
        <v>150500</v>
      </c>
      <c r="J13" s="143">
        <f>(Table242325678910[HARGA JUAL]*Table242325678910[TERJUAL])</f>
        <v>1260000</v>
      </c>
      <c r="K13" s="143">
        <f>Table242325678910[HARGA JUAL]*Table242325678910[SISA]</f>
        <v>4320000</v>
      </c>
      <c r="L13" s="144">
        <f>Table242325678910[HARGA POKOK]*Table242325678910[STOK]</f>
        <v>4913500</v>
      </c>
      <c r="M13" s="144">
        <f>Table242325678910[HARGA JUAL]*Table242325678910[STOK]</f>
        <v>5580000</v>
      </c>
      <c r="N13" s="145"/>
    </row>
    <row r="14" spans="1:14" x14ac:dyDescent="0.25">
      <c r="A14" s="137">
        <v>10</v>
      </c>
      <c r="B14" s="138" t="s">
        <v>28</v>
      </c>
      <c r="C14" s="138" t="s">
        <v>12</v>
      </c>
      <c r="D14" s="140">
        <v>133000</v>
      </c>
      <c r="E14" s="140">
        <v>165000</v>
      </c>
      <c r="F14" s="141">
        <v>50</v>
      </c>
      <c r="G14" s="142">
        <v>5</v>
      </c>
      <c r="H14" s="141">
        <f>(Table242325678910[STOK])-(Table242325678910[TERJUAL])</f>
        <v>45</v>
      </c>
      <c r="I14" s="143">
        <f>(Table242325678910[HARGA JUAL]*Table242325678910[TERJUAL])-(Table242325678910[HARGA POKOK]*Table242325678910[TERJUAL])</f>
        <v>160000</v>
      </c>
      <c r="J14" s="143">
        <f>(Table242325678910[HARGA JUAL]*Table242325678910[TERJUAL])</f>
        <v>825000</v>
      </c>
      <c r="K14" s="143">
        <f>Table242325678910[HARGA JUAL]*Table242325678910[SISA]</f>
        <v>7425000</v>
      </c>
      <c r="L14" s="144">
        <f>Table242325678910[HARGA POKOK]*Table242325678910[STOK]</f>
        <v>6650000</v>
      </c>
      <c r="M14" s="144">
        <f>Table242325678910[HARGA JUAL]*Table242325678910[STOK]</f>
        <v>8250000</v>
      </c>
      <c r="N14" s="145"/>
    </row>
    <row r="15" spans="1:14" x14ac:dyDescent="0.25">
      <c r="A15" s="137">
        <v>11</v>
      </c>
      <c r="B15" s="138" t="s">
        <v>28</v>
      </c>
      <c r="C15" s="138" t="s">
        <v>39</v>
      </c>
      <c r="D15" s="140">
        <v>29500</v>
      </c>
      <c r="E15" s="140">
        <v>40000</v>
      </c>
      <c r="F15" s="141">
        <v>43</v>
      </c>
      <c r="G15" s="142">
        <v>12</v>
      </c>
      <c r="H15" s="141">
        <f>(Table242325678910[STOK])-(Table242325678910[TERJUAL])</f>
        <v>31</v>
      </c>
      <c r="I15" s="143">
        <f>(Table242325678910[HARGA JUAL]*Table242325678910[TERJUAL])-(Table242325678910[HARGA POKOK]*Table242325678910[TERJUAL])</f>
        <v>126000</v>
      </c>
      <c r="J15" s="143">
        <f>(Table242325678910[HARGA JUAL]*Table242325678910[TERJUAL])</f>
        <v>480000</v>
      </c>
      <c r="K15" s="143">
        <f>Table242325678910[HARGA JUAL]*Table242325678910[SISA]</f>
        <v>1240000</v>
      </c>
      <c r="L15" s="144">
        <f>Table242325678910[HARGA POKOK]*Table242325678910[STOK]</f>
        <v>1268500</v>
      </c>
      <c r="M15" s="144">
        <f>Table242325678910[HARGA JUAL]*Table242325678910[STOK]</f>
        <v>1720000</v>
      </c>
      <c r="N15" s="145"/>
    </row>
    <row r="16" spans="1:14" x14ac:dyDescent="0.25">
      <c r="A16" s="137">
        <v>12</v>
      </c>
      <c r="B16" s="138" t="s">
        <v>28</v>
      </c>
      <c r="C16" s="138" t="s">
        <v>176</v>
      </c>
      <c r="D16" s="140">
        <v>72500</v>
      </c>
      <c r="E16" s="140">
        <v>100000</v>
      </c>
      <c r="F16" s="141">
        <v>24</v>
      </c>
      <c r="G16" s="142">
        <v>5</v>
      </c>
      <c r="H16" s="141">
        <f>(Table242325678910[STOK])-(Table242325678910[TERJUAL])</f>
        <v>19</v>
      </c>
      <c r="I16" s="143">
        <f>(Table242325678910[HARGA JUAL]*Table242325678910[TERJUAL])-(Table242325678910[HARGA POKOK]*Table242325678910[TERJUAL])</f>
        <v>137500</v>
      </c>
      <c r="J16" s="143">
        <f>(Table242325678910[HARGA JUAL]*Table242325678910[TERJUAL])</f>
        <v>500000</v>
      </c>
      <c r="K16" s="143">
        <f>Table242325678910[HARGA JUAL]*Table242325678910[SISA]</f>
        <v>1900000</v>
      </c>
      <c r="L16" s="144">
        <f>Table242325678910[HARGA POKOK]*Table242325678910[STOK]</f>
        <v>1740000</v>
      </c>
      <c r="M16" s="144">
        <f>Table242325678910[HARGA JUAL]*Table242325678910[STOK]</f>
        <v>2400000</v>
      </c>
      <c r="N16" s="145"/>
    </row>
    <row r="17" spans="1:14" x14ac:dyDescent="0.25">
      <c r="A17" s="137">
        <v>13</v>
      </c>
      <c r="B17" s="138" t="s">
        <v>28</v>
      </c>
      <c r="C17" s="138" t="s">
        <v>47</v>
      </c>
      <c r="D17" s="140">
        <v>66000</v>
      </c>
      <c r="E17" s="140">
        <v>85000</v>
      </c>
      <c r="F17" s="141">
        <v>61</v>
      </c>
      <c r="G17" s="142">
        <v>3</v>
      </c>
      <c r="H17" s="141">
        <f>(Table242325678910[STOK])-(Table242325678910[TERJUAL])</f>
        <v>58</v>
      </c>
      <c r="I17" s="143">
        <f>(Table242325678910[HARGA JUAL]*Table242325678910[TERJUAL])-(Table242325678910[HARGA POKOK]*Table242325678910[TERJUAL])</f>
        <v>57000</v>
      </c>
      <c r="J17" s="143">
        <f>(Table242325678910[HARGA JUAL]*Table242325678910[TERJUAL])</f>
        <v>255000</v>
      </c>
      <c r="K17" s="143">
        <f>Table242325678910[HARGA JUAL]*Table242325678910[SISA]</f>
        <v>4930000</v>
      </c>
      <c r="L17" s="144">
        <f>Table242325678910[HARGA POKOK]*Table242325678910[STOK]</f>
        <v>4026000</v>
      </c>
      <c r="M17" s="144">
        <f>Table242325678910[HARGA JUAL]*Table242325678910[STOK]</f>
        <v>5185000</v>
      </c>
      <c r="N17" s="145"/>
    </row>
    <row r="18" spans="1:14" x14ac:dyDescent="0.25">
      <c r="A18" s="137">
        <v>14</v>
      </c>
      <c r="B18" s="138" t="s">
        <v>28</v>
      </c>
      <c r="C18" s="138" t="s">
        <v>48</v>
      </c>
      <c r="D18" s="140">
        <v>22500</v>
      </c>
      <c r="E18" s="140">
        <v>28000</v>
      </c>
      <c r="F18" s="141">
        <v>577</v>
      </c>
      <c r="G18" s="142">
        <v>5</v>
      </c>
      <c r="H18" s="141">
        <f>(Table242325678910[STOK])-(Table242325678910[TERJUAL])</f>
        <v>572</v>
      </c>
      <c r="I18" s="143">
        <f>(Table242325678910[HARGA JUAL]*Table242325678910[TERJUAL])-(Table242325678910[HARGA POKOK]*Table242325678910[TERJUAL])</f>
        <v>27500</v>
      </c>
      <c r="J18" s="143">
        <f>(Table242325678910[HARGA JUAL]*Table242325678910[TERJUAL])</f>
        <v>140000</v>
      </c>
      <c r="K18" s="143">
        <f>Table242325678910[HARGA JUAL]*Table242325678910[SISA]</f>
        <v>16016000</v>
      </c>
      <c r="L18" s="144">
        <f>Table242325678910[HARGA POKOK]*Table242325678910[STOK]</f>
        <v>12982500</v>
      </c>
      <c r="M18" s="144">
        <f>Table242325678910[HARGA JUAL]*Table242325678910[STOK]</f>
        <v>16156000</v>
      </c>
      <c r="N18" s="145"/>
    </row>
    <row r="19" spans="1:14" x14ac:dyDescent="0.25">
      <c r="A19" s="137">
        <v>15</v>
      </c>
      <c r="B19" s="138" t="s">
        <v>28</v>
      </c>
      <c r="C19" s="138" t="s">
        <v>49</v>
      </c>
      <c r="D19" s="140">
        <v>56000</v>
      </c>
      <c r="E19" s="140">
        <v>80000</v>
      </c>
      <c r="F19" s="141">
        <v>56</v>
      </c>
      <c r="G19" s="142">
        <v>8</v>
      </c>
      <c r="H19" s="141">
        <f>(Table242325678910[STOK])-(Table242325678910[TERJUAL])</f>
        <v>48</v>
      </c>
      <c r="I19" s="143">
        <f>(Table242325678910[HARGA JUAL]*Table242325678910[TERJUAL])-(Table242325678910[HARGA POKOK]*Table242325678910[TERJUAL])</f>
        <v>192000</v>
      </c>
      <c r="J19" s="143">
        <f>(Table242325678910[HARGA JUAL]*Table242325678910[TERJUAL])</f>
        <v>640000</v>
      </c>
      <c r="K19" s="143">
        <f>Table242325678910[HARGA JUAL]*Table242325678910[SISA]</f>
        <v>3840000</v>
      </c>
      <c r="L19" s="144">
        <f>Table242325678910[HARGA POKOK]*Table242325678910[STOK]</f>
        <v>3136000</v>
      </c>
      <c r="M19" s="144">
        <f>Table242325678910[HARGA JUAL]*Table242325678910[STOK]</f>
        <v>4480000</v>
      </c>
      <c r="N19" s="145"/>
    </row>
    <row r="20" spans="1:14" x14ac:dyDescent="0.25">
      <c r="A20" s="137">
        <v>16</v>
      </c>
      <c r="B20" s="138" t="s">
        <v>28</v>
      </c>
      <c r="C20" s="138" t="s">
        <v>50</v>
      </c>
      <c r="D20" s="140">
        <v>40000</v>
      </c>
      <c r="E20" s="140">
        <v>60000</v>
      </c>
      <c r="F20" s="141">
        <v>17</v>
      </c>
      <c r="G20" s="142"/>
      <c r="H20" s="141">
        <f>(Table242325678910[STOK])-(Table242325678910[TERJUAL])</f>
        <v>17</v>
      </c>
      <c r="I20" s="143">
        <f>(Table242325678910[HARGA JUAL]*Table242325678910[TERJUAL])-(Table242325678910[HARGA POKOK]*Table242325678910[TERJUAL])</f>
        <v>0</v>
      </c>
      <c r="J20" s="143">
        <f>(Table242325678910[HARGA JUAL]*Table242325678910[TERJUAL])</f>
        <v>0</v>
      </c>
      <c r="K20" s="143">
        <f>Table242325678910[HARGA JUAL]*Table242325678910[SISA]</f>
        <v>1020000</v>
      </c>
      <c r="L20" s="144">
        <f>Table242325678910[HARGA POKOK]*Table242325678910[STOK]</f>
        <v>680000</v>
      </c>
      <c r="M20" s="144">
        <f>Table242325678910[HARGA JUAL]*Table242325678910[STOK]</f>
        <v>1020000</v>
      </c>
      <c r="N20" s="145" t="s">
        <v>242</v>
      </c>
    </row>
    <row r="21" spans="1:14" x14ac:dyDescent="0.25">
      <c r="A21" s="137">
        <v>17</v>
      </c>
      <c r="B21" s="138" t="s">
        <v>28</v>
      </c>
      <c r="C21" s="138" t="s">
        <v>177</v>
      </c>
      <c r="D21" s="140">
        <v>10500</v>
      </c>
      <c r="E21" s="140">
        <v>22000</v>
      </c>
      <c r="F21" s="141">
        <v>94</v>
      </c>
      <c r="G21" s="142">
        <v>6</v>
      </c>
      <c r="H21" s="141">
        <f>(Table242325678910[STOK])-(Table242325678910[TERJUAL])</f>
        <v>88</v>
      </c>
      <c r="I21" s="143">
        <f>(Table242325678910[HARGA JUAL]*Table242325678910[TERJUAL])-(Table242325678910[HARGA POKOK]*Table242325678910[TERJUAL])</f>
        <v>69000</v>
      </c>
      <c r="J21" s="143">
        <f>(Table242325678910[HARGA JUAL]*Table242325678910[TERJUAL])</f>
        <v>132000</v>
      </c>
      <c r="K21" s="143">
        <f>Table242325678910[HARGA JUAL]*Table242325678910[SISA]</f>
        <v>1936000</v>
      </c>
      <c r="L21" s="144">
        <f>Table242325678910[HARGA POKOK]*Table242325678910[STOK]</f>
        <v>987000</v>
      </c>
      <c r="M21" s="144">
        <f>Table242325678910[HARGA JUAL]*Table242325678910[STOK]</f>
        <v>2068000</v>
      </c>
      <c r="N21" s="145"/>
    </row>
    <row r="22" spans="1:14" x14ac:dyDescent="0.25">
      <c r="A22" s="137">
        <v>18</v>
      </c>
      <c r="B22" s="138" t="s">
        <v>28</v>
      </c>
      <c r="C22" s="138" t="s">
        <v>51</v>
      </c>
      <c r="D22" s="140">
        <v>60000</v>
      </c>
      <c r="E22" s="140">
        <v>80000</v>
      </c>
      <c r="F22" s="141">
        <v>68</v>
      </c>
      <c r="G22" s="142">
        <v>2</v>
      </c>
      <c r="H22" s="141">
        <f>(Table242325678910[STOK])-(Table242325678910[TERJUAL])</f>
        <v>66</v>
      </c>
      <c r="I22" s="143">
        <f>(Table242325678910[HARGA JUAL]*Table242325678910[TERJUAL])-(Table242325678910[HARGA POKOK]*Table242325678910[TERJUAL])</f>
        <v>40000</v>
      </c>
      <c r="J22" s="143">
        <f>(Table242325678910[HARGA JUAL]*Table242325678910[TERJUAL])</f>
        <v>160000</v>
      </c>
      <c r="K22" s="143">
        <f>Table242325678910[HARGA JUAL]*Table242325678910[SISA]</f>
        <v>5280000</v>
      </c>
      <c r="L22" s="144">
        <f>Table242325678910[HARGA POKOK]*Table242325678910[STOK]</f>
        <v>4080000</v>
      </c>
      <c r="M22" s="144">
        <f>Table242325678910[HARGA JUAL]*Table242325678910[STOK]</f>
        <v>5440000</v>
      </c>
      <c r="N22" s="145"/>
    </row>
    <row r="23" spans="1:14" x14ac:dyDescent="0.25">
      <c r="A23" s="137">
        <v>19</v>
      </c>
      <c r="B23" s="138" t="s">
        <v>28</v>
      </c>
      <c r="C23" s="138" t="s">
        <v>178</v>
      </c>
      <c r="D23" s="140">
        <v>14500</v>
      </c>
      <c r="E23" s="140">
        <v>25000</v>
      </c>
      <c r="F23" s="141">
        <v>96</v>
      </c>
      <c r="G23" s="142">
        <v>5</v>
      </c>
      <c r="H23" s="141">
        <f>(Table242325678910[STOK])-(Table242325678910[TERJUAL])</f>
        <v>91</v>
      </c>
      <c r="I23" s="143">
        <f>(Table242325678910[HARGA JUAL]*Table242325678910[TERJUAL])-(Table242325678910[HARGA POKOK]*Table242325678910[TERJUAL])</f>
        <v>52500</v>
      </c>
      <c r="J23" s="143">
        <f>(Table242325678910[HARGA JUAL]*Table242325678910[TERJUAL])</f>
        <v>125000</v>
      </c>
      <c r="K23" s="143">
        <f>Table242325678910[HARGA JUAL]*Table242325678910[SISA]</f>
        <v>2275000</v>
      </c>
      <c r="L23" s="144">
        <f>Table242325678910[HARGA POKOK]*Table242325678910[STOK]</f>
        <v>1392000</v>
      </c>
      <c r="M23" s="144">
        <f>Table242325678910[HARGA JUAL]*Table242325678910[STOK]</f>
        <v>2400000</v>
      </c>
      <c r="N23" s="145"/>
    </row>
    <row r="24" spans="1:14" x14ac:dyDescent="0.25">
      <c r="A24" s="137">
        <v>20</v>
      </c>
      <c r="B24" s="138" t="s">
        <v>28</v>
      </c>
      <c r="C24" s="138" t="s">
        <v>52</v>
      </c>
      <c r="D24" s="140">
        <v>30000</v>
      </c>
      <c r="E24" s="140">
        <v>30000</v>
      </c>
      <c r="F24" s="141">
        <v>105</v>
      </c>
      <c r="G24" s="142">
        <v>7</v>
      </c>
      <c r="H24" s="141">
        <f>(Table242325678910[STOK])-(Table242325678910[TERJUAL])</f>
        <v>98</v>
      </c>
      <c r="I24" s="143">
        <f>(Table242325678910[HARGA JUAL]*Table242325678910[TERJUAL])-(Table242325678910[HARGA POKOK]*Table242325678910[TERJUAL])</f>
        <v>0</v>
      </c>
      <c r="J24" s="143">
        <f>(Table242325678910[HARGA JUAL]*Table242325678910[TERJUAL])</f>
        <v>210000</v>
      </c>
      <c r="K24" s="143">
        <f>Table242325678910[HARGA JUAL]*Table242325678910[SISA]</f>
        <v>2940000</v>
      </c>
      <c r="L24" s="144">
        <f>Table242325678910[HARGA POKOK]*Table242325678910[STOK]</f>
        <v>3150000</v>
      </c>
      <c r="M24" s="144">
        <f>Table242325678910[HARGA JUAL]*Table242325678910[STOK]</f>
        <v>3150000</v>
      </c>
      <c r="N24" s="145" t="s">
        <v>179</v>
      </c>
    </row>
    <row r="25" spans="1:14" x14ac:dyDescent="0.25">
      <c r="A25" s="137">
        <v>21</v>
      </c>
      <c r="B25" s="138" t="s">
        <v>28</v>
      </c>
      <c r="C25" s="138" t="s">
        <v>53</v>
      </c>
      <c r="D25" s="140">
        <v>3000</v>
      </c>
      <c r="E25" s="140">
        <v>5000</v>
      </c>
      <c r="F25" s="141"/>
      <c r="G25" s="142"/>
      <c r="H25" s="141">
        <f>(Table242325678910[STOK])-(Table242325678910[TERJUAL])</f>
        <v>0</v>
      </c>
      <c r="I25" s="143">
        <f>(Table242325678910[HARGA JUAL]*Table242325678910[TERJUAL])-(Table242325678910[HARGA POKOK]*Table242325678910[TERJUAL])</f>
        <v>0</v>
      </c>
      <c r="J25" s="143">
        <f>(Table242325678910[HARGA JUAL]*Table242325678910[TERJUAL])</f>
        <v>0</v>
      </c>
      <c r="K25" s="143">
        <f>Table242325678910[HARGA JUAL]*Table242325678910[SISA]</f>
        <v>0</v>
      </c>
      <c r="L25" s="144">
        <f>Table242325678910[HARGA POKOK]*Table242325678910[STOK]</f>
        <v>0</v>
      </c>
      <c r="M25" s="144">
        <f>Table242325678910[HARGA JUAL]*Table242325678910[STOK]</f>
        <v>0</v>
      </c>
      <c r="N25" s="145"/>
    </row>
    <row r="26" spans="1:14" x14ac:dyDescent="0.25">
      <c r="A26" s="137">
        <v>22</v>
      </c>
      <c r="B26" s="138" t="s">
        <v>29</v>
      </c>
      <c r="C26" s="138" t="s">
        <v>54</v>
      </c>
      <c r="D26" s="140">
        <v>47500</v>
      </c>
      <c r="E26" s="140">
        <v>60000</v>
      </c>
      <c r="F26" s="141">
        <v>96</v>
      </c>
      <c r="G26" s="142">
        <v>3</v>
      </c>
      <c r="H26" s="141">
        <f>(Table242325678910[STOK])-(Table242325678910[TERJUAL])</f>
        <v>93</v>
      </c>
      <c r="I26" s="143">
        <f>(Table242325678910[HARGA JUAL]*Table242325678910[TERJUAL])-(Table242325678910[HARGA POKOK]*Table242325678910[TERJUAL])</f>
        <v>37500</v>
      </c>
      <c r="J26" s="143">
        <f>(Table242325678910[HARGA JUAL]*Table242325678910[TERJUAL])</f>
        <v>180000</v>
      </c>
      <c r="K26" s="143">
        <f>Table242325678910[HARGA JUAL]*Table242325678910[SISA]</f>
        <v>5580000</v>
      </c>
      <c r="L26" s="144">
        <f>Table242325678910[HARGA POKOK]*Table242325678910[STOK]</f>
        <v>4560000</v>
      </c>
      <c r="M26" s="144">
        <f>Table242325678910[HARGA JUAL]*Table242325678910[STOK]</f>
        <v>5760000</v>
      </c>
      <c r="N26" s="145"/>
    </row>
    <row r="27" spans="1:14" x14ac:dyDescent="0.25">
      <c r="A27" s="137">
        <v>23</v>
      </c>
      <c r="B27" s="138" t="s">
        <v>29</v>
      </c>
      <c r="C27" s="138" t="s">
        <v>55</v>
      </c>
      <c r="D27" s="140">
        <v>114500</v>
      </c>
      <c r="E27" s="140">
        <v>143000</v>
      </c>
      <c r="F27" s="141">
        <v>11</v>
      </c>
      <c r="G27" s="142">
        <v>2</v>
      </c>
      <c r="H27" s="141">
        <f>(Table242325678910[STOK])-(Table242325678910[TERJUAL])</f>
        <v>9</v>
      </c>
      <c r="I27" s="143">
        <f>(Table242325678910[HARGA JUAL]*Table242325678910[TERJUAL])-(Table242325678910[HARGA POKOK]*Table242325678910[TERJUAL])</f>
        <v>57000</v>
      </c>
      <c r="J27" s="143">
        <f>(Table242325678910[HARGA JUAL]*Table242325678910[TERJUAL])</f>
        <v>286000</v>
      </c>
      <c r="K27" s="143">
        <f>Table242325678910[HARGA JUAL]*Table242325678910[SISA]</f>
        <v>1287000</v>
      </c>
      <c r="L27" s="144">
        <f>Table242325678910[HARGA POKOK]*Table242325678910[STOK]</f>
        <v>1259500</v>
      </c>
      <c r="M27" s="144">
        <f>Table242325678910[HARGA JUAL]*Table242325678910[STOK]</f>
        <v>1573000</v>
      </c>
      <c r="N27" s="145"/>
    </row>
    <row r="28" spans="1:14" x14ac:dyDescent="0.25">
      <c r="A28" s="137">
        <v>24</v>
      </c>
      <c r="B28" s="138" t="s">
        <v>29</v>
      </c>
      <c r="C28" s="138" t="s">
        <v>56</v>
      </c>
      <c r="D28" s="140">
        <v>82500</v>
      </c>
      <c r="E28" s="140">
        <v>120000</v>
      </c>
      <c r="F28" s="141">
        <v>0</v>
      </c>
      <c r="G28" s="142"/>
      <c r="H28" s="141">
        <f>(Table242325678910[STOK])-(Table242325678910[TERJUAL])</f>
        <v>0</v>
      </c>
      <c r="I28" s="143">
        <f>(Table242325678910[HARGA JUAL]*Table242325678910[TERJUAL])-(Table242325678910[HARGA POKOK]*Table242325678910[TERJUAL])</f>
        <v>0</v>
      </c>
      <c r="J28" s="143">
        <f>(Table242325678910[HARGA JUAL]*Table242325678910[TERJUAL])</f>
        <v>0</v>
      </c>
      <c r="K28" s="143">
        <f>Table242325678910[HARGA JUAL]*Table242325678910[SISA]</f>
        <v>0</v>
      </c>
      <c r="L28" s="144">
        <f>Table242325678910[HARGA POKOK]*Table242325678910[STOK]</f>
        <v>0</v>
      </c>
      <c r="M28" s="144">
        <f>Table242325678910[HARGA JUAL]*Table242325678910[STOK]</f>
        <v>0</v>
      </c>
      <c r="N28" s="145"/>
    </row>
    <row r="29" spans="1:14" x14ac:dyDescent="0.25">
      <c r="A29" s="137">
        <v>25</v>
      </c>
      <c r="B29" s="138" t="s">
        <v>29</v>
      </c>
      <c r="C29" s="138" t="s">
        <v>57</v>
      </c>
      <c r="D29" s="140">
        <v>165000</v>
      </c>
      <c r="E29" s="140">
        <v>50000</v>
      </c>
      <c r="F29" s="141">
        <v>14</v>
      </c>
      <c r="G29" s="142">
        <v>14</v>
      </c>
      <c r="H29" s="141">
        <f>(Table242325678910[STOK])-(Table242325678910[TERJUAL])</f>
        <v>0</v>
      </c>
      <c r="I29" s="143">
        <f>(Table242325678910[HARGA JUAL]*Table242325678910[TERJUAL])-(Table242325678910[HARGA POKOK]*Table242325678910[TERJUAL])</f>
        <v>-1610000</v>
      </c>
      <c r="J29" s="143">
        <f>(Table242325678910[HARGA JUAL]*Table242325678910[TERJUAL])</f>
        <v>700000</v>
      </c>
      <c r="K29" s="143">
        <f>Table242325678910[HARGA JUAL]*Table242325678910[SISA]</f>
        <v>0</v>
      </c>
      <c r="L29" s="144">
        <f>Table242325678910[HARGA POKOK]*Table242325678910[STOK]</f>
        <v>2310000</v>
      </c>
      <c r="M29" s="144">
        <f>Table242325678910[HARGA JUAL]*Table242325678910[STOK]</f>
        <v>700000</v>
      </c>
      <c r="N29" s="145" t="s">
        <v>238</v>
      </c>
    </row>
    <row r="30" spans="1:14" x14ac:dyDescent="0.25">
      <c r="A30" s="137">
        <v>26</v>
      </c>
      <c r="B30" s="138" t="s">
        <v>30</v>
      </c>
      <c r="C30" s="138" t="s">
        <v>58</v>
      </c>
      <c r="D30" s="140">
        <v>10000</v>
      </c>
      <c r="E30" s="140">
        <v>18000</v>
      </c>
      <c r="F30" s="141">
        <v>17</v>
      </c>
      <c r="G30" s="142">
        <v>3</v>
      </c>
      <c r="H30" s="141">
        <f>(Table242325678910[STOK])-(Table242325678910[TERJUAL])</f>
        <v>14</v>
      </c>
      <c r="I30" s="143">
        <f>(Table242325678910[HARGA JUAL]*Table242325678910[TERJUAL])-(Table242325678910[HARGA POKOK]*Table242325678910[TERJUAL])</f>
        <v>24000</v>
      </c>
      <c r="J30" s="143">
        <f>(Table242325678910[HARGA JUAL]*Table242325678910[TERJUAL])</f>
        <v>54000</v>
      </c>
      <c r="K30" s="143">
        <f>Table242325678910[HARGA JUAL]*Table242325678910[SISA]</f>
        <v>252000</v>
      </c>
      <c r="L30" s="144">
        <f>Table242325678910[HARGA POKOK]*Table242325678910[STOK]</f>
        <v>170000</v>
      </c>
      <c r="M30" s="144">
        <f>Table242325678910[HARGA JUAL]*Table242325678910[STOK]</f>
        <v>306000</v>
      </c>
      <c r="N30" s="145"/>
    </row>
    <row r="31" spans="1:14" x14ac:dyDescent="0.25">
      <c r="A31" s="137">
        <v>27</v>
      </c>
      <c r="B31" s="138" t="s">
        <v>30</v>
      </c>
      <c r="C31" s="138" t="s">
        <v>59</v>
      </c>
      <c r="D31" s="140">
        <v>27500</v>
      </c>
      <c r="E31" s="140">
        <v>45000</v>
      </c>
      <c r="F31" s="141">
        <v>28</v>
      </c>
      <c r="G31" s="142">
        <v>4</v>
      </c>
      <c r="H31" s="141">
        <f>(Table242325678910[STOK])-(Table242325678910[TERJUAL])</f>
        <v>24</v>
      </c>
      <c r="I31" s="143">
        <f>(Table242325678910[HARGA JUAL]*Table242325678910[TERJUAL])-(Table242325678910[HARGA POKOK]*Table242325678910[TERJUAL])</f>
        <v>70000</v>
      </c>
      <c r="J31" s="143">
        <f>(Table242325678910[HARGA JUAL]*Table242325678910[TERJUAL])</f>
        <v>180000</v>
      </c>
      <c r="K31" s="143">
        <f>Table242325678910[HARGA JUAL]*Table242325678910[SISA]</f>
        <v>1080000</v>
      </c>
      <c r="L31" s="144">
        <f>Table242325678910[HARGA POKOK]*Table242325678910[STOK]</f>
        <v>770000</v>
      </c>
      <c r="M31" s="144">
        <f>Table242325678910[HARGA JUAL]*Table242325678910[STOK]</f>
        <v>1260000</v>
      </c>
      <c r="N31" s="145"/>
    </row>
    <row r="32" spans="1:14" x14ac:dyDescent="0.25">
      <c r="A32" s="137">
        <v>28</v>
      </c>
      <c r="B32" s="138" t="s">
        <v>30</v>
      </c>
      <c r="C32" s="138" t="s">
        <v>60</v>
      </c>
      <c r="D32" s="140">
        <v>12500</v>
      </c>
      <c r="E32" s="140">
        <v>16000</v>
      </c>
      <c r="F32" s="141">
        <v>195</v>
      </c>
      <c r="G32" s="142">
        <v>81</v>
      </c>
      <c r="H32" s="141">
        <f>(Table242325678910[STOK])-(Table242325678910[TERJUAL])</f>
        <v>114</v>
      </c>
      <c r="I32" s="143">
        <f>(Table242325678910[HARGA JUAL]*Table242325678910[TERJUAL])-(Table242325678910[HARGA POKOK]*Table242325678910[TERJUAL])</f>
        <v>283500</v>
      </c>
      <c r="J32" s="143">
        <f>(Table242325678910[HARGA JUAL]*Table242325678910[TERJUAL])</f>
        <v>1296000</v>
      </c>
      <c r="K32" s="143">
        <f>Table242325678910[HARGA JUAL]*Table242325678910[SISA]</f>
        <v>1824000</v>
      </c>
      <c r="L32" s="144">
        <f>Table242325678910[HARGA POKOK]*Table242325678910[STOK]</f>
        <v>2437500</v>
      </c>
      <c r="M32" s="144">
        <f>Table242325678910[HARGA JUAL]*Table242325678910[STOK]</f>
        <v>3120000</v>
      </c>
      <c r="N32" s="145"/>
    </row>
    <row r="33" spans="1:14" x14ac:dyDescent="0.25">
      <c r="A33" s="137">
        <v>29</v>
      </c>
      <c r="B33" s="138" t="s">
        <v>30</v>
      </c>
      <c r="C33" s="138" t="s">
        <v>13</v>
      </c>
      <c r="D33" s="140">
        <v>33500</v>
      </c>
      <c r="E33" s="140">
        <v>50000</v>
      </c>
      <c r="F33" s="141">
        <v>12</v>
      </c>
      <c r="G33" s="142">
        <v>12</v>
      </c>
      <c r="H33" s="141">
        <f>(Table242325678910[STOK])-(Table242325678910[TERJUAL])</f>
        <v>0</v>
      </c>
      <c r="I33" s="143">
        <f>(Table242325678910[HARGA JUAL]*Table242325678910[TERJUAL])-(Table242325678910[HARGA POKOK]*Table242325678910[TERJUAL])</f>
        <v>198000</v>
      </c>
      <c r="J33" s="143">
        <f>(Table242325678910[HARGA JUAL]*Table242325678910[TERJUAL])</f>
        <v>600000</v>
      </c>
      <c r="K33" s="143">
        <f>Table242325678910[HARGA JUAL]*Table242325678910[SISA]</f>
        <v>0</v>
      </c>
      <c r="L33" s="144">
        <f>Table242325678910[HARGA POKOK]*Table242325678910[STOK]</f>
        <v>402000</v>
      </c>
      <c r="M33" s="144">
        <f>Table242325678910[HARGA JUAL]*Table242325678910[STOK]</f>
        <v>600000</v>
      </c>
      <c r="N33" s="145"/>
    </row>
    <row r="34" spans="1:14" x14ac:dyDescent="0.25">
      <c r="A34" s="137">
        <v>30</v>
      </c>
      <c r="B34" s="138" t="s">
        <v>30</v>
      </c>
      <c r="C34" s="138" t="s">
        <v>14</v>
      </c>
      <c r="D34" s="140">
        <v>8500</v>
      </c>
      <c r="E34" s="140">
        <v>12000</v>
      </c>
      <c r="F34" s="141">
        <v>206</v>
      </c>
      <c r="G34" s="142">
        <v>13</v>
      </c>
      <c r="H34" s="141">
        <f>(Table242325678910[STOK])-(Table242325678910[TERJUAL])</f>
        <v>193</v>
      </c>
      <c r="I34" s="143">
        <f>(Table242325678910[HARGA JUAL]*Table242325678910[TERJUAL])-(Table242325678910[HARGA POKOK]*Table242325678910[TERJUAL])</f>
        <v>45500</v>
      </c>
      <c r="J34" s="143">
        <f>(Table242325678910[HARGA JUAL]*Table242325678910[TERJUAL])</f>
        <v>156000</v>
      </c>
      <c r="K34" s="143">
        <f>Table242325678910[HARGA JUAL]*Table242325678910[SISA]</f>
        <v>2316000</v>
      </c>
      <c r="L34" s="144">
        <f>Table242325678910[HARGA POKOK]*Table242325678910[STOK]</f>
        <v>1751000</v>
      </c>
      <c r="M34" s="144">
        <f>Table242325678910[HARGA JUAL]*Table242325678910[STOK]</f>
        <v>2472000</v>
      </c>
      <c r="N34" s="145" t="s">
        <v>201</v>
      </c>
    </row>
    <row r="35" spans="1:14" x14ac:dyDescent="0.25">
      <c r="A35" s="137">
        <v>31</v>
      </c>
      <c r="B35" s="138" t="s">
        <v>30</v>
      </c>
      <c r="C35" s="138" t="s">
        <v>15</v>
      </c>
      <c r="D35" s="140">
        <v>30500</v>
      </c>
      <c r="E35" s="140">
        <v>45000</v>
      </c>
      <c r="F35" s="141">
        <v>28</v>
      </c>
      <c r="G35" s="142">
        <v>4</v>
      </c>
      <c r="H35" s="141">
        <f>(Table242325678910[STOK])-(Table242325678910[TERJUAL])</f>
        <v>24</v>
      </c>
      <c r="I35" s="143">
        <f>(Table242325678910[HARGA JUAL]*Table242325678910[TERJUAL])-(Table242325678910[HARGA POKOK]*Table242325678910[TERJUAL])</f>
        <v>58000</v>
      </c>
      <c r="J35" s="143">
        <f>(Table242325678910[HARGA JUAL]*Table242325678910[TERJUAL])</f>
        <v>180000</v>
      </c>
      <c r="K35" s="143">
        <f>Table242325678910[HARGA JUAL]*Table242325678910[SISA]</f>
        <v>1080000</v>
      </c>
      <c r="L35" s="144">
        <f>Table242325678910[HARGA POKOK]*Table242325678910[STOK]</f>
        <v>854000</v>
      </c>
      <c r="M35" s="144">
        <f>Table242325678910[HARGA JUAL]*Table242325678910[STOK]</f>
        <v>1260000</v>
      </c>
      <c r="N35" s="145"/>
    </row>
    <row r="36" spans="1:14" x14ac:dyDescent="0.25">
      <c r="A36" s="137">
        <v>32</v>
      </c>
      <c r="B36" s="138" t="s">
        <v>30</v>
      </c>
      <c r="C36" s="138" t="s">
        <v>16</v>
      </c>
      <c r="D36" s="140">
        <v>7500</v>
      </c>
      <c r="E36" s="140">
        <v>10000</v>
      </c>
      <c r="F36" s="141">
        <v>175</v>
      </c>
      <c r="G36" s="142">
        <v>7</v>
      </c>
      <c r="H36" s="141">
        <f>(Table242325678910[STOK])-(Table242325678910[TERJUAL])</f>
        <v>168</v>
      </c>
      <c r="I36" s="143">
        <f>(Table242325678910[HARGA JUAL]*Table242325678910[TERJUAL])-(Table242325678910[HARGA POKOK]*Table242325678910[TERJUAL])</f>
        <v>17500</v>
      </c>
      <c r="J36" s="143">
        <f>(Table242325678910[HARGA JUAL]*Table242325678910[TERJUAL])</f>
        <v>70000</v>
      </c>
      <c r="K36" s="143">
        <f>Table242325678910[HARGA JUAL]*Table242325678910[SISA]</f>
        <v>1680000</v>
      </c>
      <c r="L36" s="144">
        <f>Table242325678910[HARGA POKOK]*Table242325678910[STOK]</f>
        <v>1312500</v>
      </c>
      <c r="M36" s="144">
        <f>Table242325678910[HARGA JUAL]*Table242325678910[STOK]</f>
        <v>1750000</v>
      </c>
      <c r="N36" s="145" t="s">
        <v>202</v>
      </c>
    </row>
    <row r="37" spans="1:14" x14ac:dyDescent="0.25">
      <c r="A37" s="137">
        <v>33</v>
      </c>
      <c r="B37" s="138" t="s">
        <v>35</v>
      </c>
      <c r="C37" s="138" t="s">
        <v>36</v>
      </c>
      <c r="D37" s="140">
        <v>51500</v>
      </c>
      <c r="E37" s="140">
        <v>65000</v>
      </c>
      <c r="F37" s="141">
        <v>41</v>
      </c>
      <c r="G37" s="142">
        <v>4</v>
      </c>
      <c r="H37" s="141">
        <f>(Table242325678910[STOK])-(Table242325678910[TERJUAL])</f>
        <v>37</v>
      </c>
      <c r="I37" s="143">
        <f>(Table242325678910[HARGA JUAL]*Table242325678910[TERJUAL])-(Table242325678910[HARGA POKOK]*Table242325678910[TERJUAL])</f>
        <v>54000</v>
      </c>
      <c r="J37" s="143">
        <f>(Table242325678910[HARGA JUAL]*Table242325678910[TERJUAL])</f>
        <v>260000</v>
      </c>
      <c r="K37" s="143">
        <f>Table242325678910[HARGA JUAL]*Table242325678910[SISA]</f>
        <v>2405000</v>
      </c>
      <c r="L37" s="144">
        <f>Table242325678910[HARGA POKOK]*Table242325678910[STOK]</f>
        <v>2111500</v>
      </c>
      <c r="M37" s="144">
        <f>Table242325678910[HARGA JUAL]*Table242325678910[STOK]</f>
        <v>2665000</v>
      </c>
      <c r="N37" s="145"/>
    </row>
    <row r="38" spans="1:14" x14ac:dyDescent="0.25">
      <c r="A38" s="137">
        <v>34</v>
      </c>
      <c r="B38" s="138" t="s">
        <v>35</v>
      </c>
      <c r="C38" s="138" t="s">
        <v>175</v>
      </c>
      <c r="D38" s="140">
        <v>27500</v>
      </c>
      <c r="E38" s="140">
        <v>40000</v>
      </c>
      <c r="F38" s="141">
        <v>87</v>
      </c>
      <c r="G38" s="142">
        <v>2</v>
      </c>
      <c r="H38" s="141">
        <f>(Table242325678910[STOK])-(Table242325678910[TERJUAL])</f>
        <v>85</v>
      </c>
      <c r="I38" s="143">
        <f>(Table242325678910[HARGA JUAL]*Table242325678910[TERJUAL])-(Table242325678910[HARGA POKOK]*Table242325678910[TERJUAL])</f>
        <v>25000</v>
      </c>
      <c r="J38" s="143">
        <f>(Table242325678910[HARGA JUAL]*Table242325678910[TERJUAL])</f>
        <v>80000</v>
      </c>
      <c r="K38" s="143">
        <f>Table242325678910[HARGA JUAL]*Table242325678910[SISA]</f>
        <v>3400000</v>
      </c>
      <c r="L38" s="144">
        <f>Table242325678910[HARGA POKOK]*Table242325678910[STOK]</f>
        <v>2392500</v>
      </c>
      <c r="M38" s="144">
        <f>Table242325678910[HARGA JUAL]*Table242325678910[STOK]</f>
        <v>3480000</v>
      </c>
      <c r="N38" s="145"/>
    </row>
    <row r="39" spans="1:14" x14ac:dyDescent="0.25">
      <c r="A39" s="137">
        <v>35</v>
      </c>
      <c r="B39" s="138" t="s">
        <v>31</v>
      </c>
      <c r="C39" s="138" t="s">
        <v>180</v>
      </c>
      <c r="D39" s="140">
        <v>21500</v>
      </c>
      <c r="E39" s="140">
        <v>40000</v>
      </c>
      <c r="F39" s="141">
        <v>120</v>
      </c>
      <c r="G39" s="142">
        <v>3</v>
      </c>
      <c r="H39" s="141">
        <f>(Table242325678910[STOK])-(Table242325678910[TERJUAL])</f>
        <v>117</v>
      </c>
      <c r="I39" s="143">
        <f>(Table242325678910[HARGA JUAL]*Table242325678910[TERJUAL])-(Table242325678910[HARGA POKOK]*Table242325678910[TERJUAL])</f>
        <v>55500</v>
      </c>
      <c r="J39" s="143">
        <f>(Table242325678910[HARGA JUAL]*Table242325678910[TERJUAL])</f>
        <v>120000</v>
      </c>
      <c r="K39" s="143">
        <f>Table242325678910[HARGA JUAL]*Table242325678910[SISA]</f>
        <v>4680000</v>
      </c>
      <c r="L39" s="144">
        <f>Table242325678910[HARGA POKOK]*Table242325678910[STOK]</f>
        <v>2580000</v>
      </c>
      <c r="M39" s="144">
        <f>Table242325678910[HARGA JUAL]*Table242325678910[STOK]</f>
        <v>4800000</v>
      </c>
      <c r="N39" s="145"/>
    </row>
    <row r="40" spans="1:14" x14ac:dyDescent="0.25">
      <c r="A40" s="137">
        <v>36</v>
      </c>
      <c r="B40" s="138" t="s">
        <v>31</v>
      </c>
      <c r="C40" s="138" t="s">
        <v>62</v>
      </c>
      <c r="D40" s="140">
        <v>25000</v>
      </c>
      <c r="E40" s="140">
        <v>40000</v>
      </c>
      <c r="F40" s="141">
        <v>5</v>
      </c>
      <c r="G40" s="142"/>
      <c r="H40" s="141">
        <f>(Table242325678910[STOK])-(Table242325678910[TERJUAL])</f>
        <v>5</v>
      </c>
      <c r="I40" s="143">
        <f>(Table242325678910[HARGA JUAL]*Table242325678910[TERJUAL])-(Table242325678910[HARGA POKOK]*Table242325678910[TERJUAL])</f>
        <v>0</v>
      </c>
      <c r="J40" s="143">
        <f>(Table242325678910[HARGA JUAL]*Table242325678910[TERJUAL])</f>
        <v>0</v>
      </c>
      <c r="K40" s="143">
        <f>Table242325678910[HARGA JUAL]*Table242325678910[SISA]</f>
        <v>200000</v>
      </c>
      <c r="L40" s="144">
        <f>Table242325678910[HARGA POKOK]*Table242325678910[STOK]</f>
        <v>125000</v>
      </c>
      <c r="M40" s="144">
        <f>Table242325678910[HARGA JUAL]*Table242325678910[STOK]</f>
        <v>200000</v>
      </c>
      <c r="N40" s="145"/>
    </row>
    <row r="41" spans="1:14" x14ac:dyDescent="0.25">
      <c r="A41" s="137">
        <v>37</v>
      </c>
      <c r="B41" s="138" t="s">
        <v>31</v>
      </c>
      <c r="C41" s="138" t="s">
        <v>181</v>
      </c>
      <c r="D41" s="140">
        <v>34500</v>
      </c>
      <c r="E41" s="140">
        <v>40000</v>
      </c>
      <c r="F41" s="141">
        <v>119</v>
      </c>
      <c r="G41" s="142"/>
      <c r="H41" s="141">
        <f>(Table242325678910[STOK])-(Table242325678910[TERJUAL])</f>
        <v>119</v>
      </c>
      <c r="I41" s="143">
        <f>(Table242325678910[HARGA JUAL]*Table242325678910[TERJUAL])-(Table242325678910[HARGA POKOK]*Table242325678910[TERJUAL])</f>
        <v>0</v>
      </c>
      <c r="J41" s="143">
        <f>(Table242325678910[HARGA JUAL]*Table242325678910[TERJUAL])</f>
        <v>0</v>
      </c>
      <c r="K41" s="143">
        <f>Table242325678910[HARGA JUAL]*Table242325678910[SISA]</f>
        <v>4760000</v>
      </c>
      <c r="L41" s="144">
        <f>Table242325678910[HARGA POKOK]*Table242325678910[STOK]</f>
        <v>4105500</v>
      </c>
      <c r="M41" s="144">
        <f>Table242325678910[HARGA JUAL]*Table242325678910[STOK]</f>
        <v>4760000</v>
      </c>
      <c r="N41" s="145"/>
    </row>
    <row r="42" spans="1:14" x14ac:dyDescent="0.25">
      <c r="A42" s="137">
        <v>38</v>
      </c>
      <c r="B42" s="138" t="s">
        <v>31</v>
      </c>
      <c r="C42" s="138" t="s">
        <v>64</v>
      </c>
      <c r="D42" s="140">
        <v>24000</v>
      </c>
      <c r="E42" s="140">
        <v>40000</v>
      </c>
      <c r="F42" s="141">
        <v>3</v>
      </c>
      <c r="G42" s="142"/>
      <c r="H42" s="141">
        <f>(Table242325678910[STOK])-(Table242325678910[TERJUAL])</f>
        <v>3</v>
      </c>
      <c r="I42" s="143">
        <f>(Table242325678910[HARGA JUAL]*Table242325678910[TERJUAL])-(Table242325678910[HARGA POKOK]*Table242325678910[TERJUAL])</f>
        <v>0</v>
      </c>
      <c r="J42" s="143">
        <f>(Table242325678910[HARGA JUAL]*Table242325678910[TERJUAL])</f>
        <v>0</v>
      </c>
      <c r="K42" s="143">
        <f>Table242325678910[HARGA JUAL]*Table242325678910[SISA]</f>
        <v>120000</v>
      </c>
      <c r="L42" s="144">
        <f>Table242325678910[HARGA POKOK]*Table242325678910[STOK]</f>
        <v>72000</v>
      </c>
      <c r="M42" s="144">
        <f>Table242325678910[HARGA JUAL]*Table242325678910[STOK]</f>
        <v>120000</v>
      </c>
      <c r="N42" s="145"/>
    </row>
    <row r="43" spans="1:14" x14ac:dyDescent="0.25">
      <c r="A43" s="137">
        <v>39</v>
      </c>
      <c r="B43" s="138" t="s">
        <v>31</v>
      </c>
      <c r="C43" s="138" t="s">
        <v>138</v>
      </c>
      <c r="D43" s="140">
        <v>34000</v>
      </c>
      <c r="E43" s="140">
        <v>40000</v>
      </c>
      <c r="F43" s="141">
        <v>2</v>
      </c>
      <c r="G43" s="142"/>
      <c r="H43" s="141">
        <f>(Table242325678910[STOK])-(Table242325678910[TERJUAL])</f>
        <v>2</v>
      </c>
      <c r="I43" s="143">
        <f>(Table242325678910[HARGA JUAL]*Table242325678910[TERJUAL])-(Table242325678910[HARGA POKOK]*Table242325678910[TERJUAL])</f>
        <v>0</v>
      </c>
      <c r="J43" s="143">
        <f>(Table242325678910[HARGA JUAL]*Table242325678910[TERJUAL])</f>
        <v>0</v>
      </c>
      <c r="K43" s="143">
        <f>Table242325678910[HARGA JUAL]*Table242325678910[SISA]</f>
        <v>80000</v>
      </c>
      <c r="L43" s="144">
        <f>Table242325678910[HARGA POKOK]*Table242325678910[STOK]</f>
        <v>68000</v>
      </c>
      <c r="M43" s="144">
        <f>Table242325678910[HARGA JUAL]*Table242325678910[STOK]</f>
        <v>80000</v>
      </c>
      <c r="N43" s="145"/>
    </row>
    <row r="44" spans="1:14" x14ac:dyDescent="0.25">
      <c r="A44" s="137">
        <v>40</v>
      </c>
      <c r="B44" s="138" t="s">
        <v>31</v>
      </c>
      <c r="C44" s="138" t="s">
        <v>182</v>
      </c>
      <c r="D44" s="140">
        <v>20000</v>
      </c>
      <c r="E44" s="140">
        <v>40000</v>
      </c>
      <c r="F44" s="141">
        <v>1</v>
      </c>
      <c r="G44" s="142"/>
      <c r="H44" s="141">
        <f>(Table242325678910[STOK])-(Table242325678910[TERJUAL])</f>
        <v>1</v>
      </c>
      <c r="I44" s="143">
        <f>(Table242325678910[HARGA JUAL]*Table242325678910[TERJUAL])-(Table242325678910[HARGA POKOK]*Table242325678910[TERJUAL])</f>
        <v>0</v>
      </c>
      <c r="J44" s="143">
        <f>(Table242325678910[HARGA JUAL]*Table242325678910[TERJUAL])</f>
        <v>0</v>
      </c>
      <c r="K44" s="143">
        <f>Table242325678910[HARGA JUAL]*Table242325678910[SISA]</f>
        <v>40000</v>
      </c>
      <c r="L44" s="144">
        <f>Table242325678910[HARGA POKOK]*Table242325678910[STOK]</f>
        <v>20000</v>
      </c>
      <c r="M44" s="144">
        <f>Table242325678910[HARGA JUAL]*Table242325678910[STOK]</f>
        <v>40000</v>
      </c>
      <c r="N44" s="145"/>
    </row>
    <row r="45" spans="1:14" x14ac:dyDescent="0.25">
      <c r="A45" s="137">
        <v>41</v>
      </c>
      <c r="B45" s="138" t="s">
        <v>31</v>
      </c>
      <c r="C45" s="138" t="s">
        <v>67</v>
      </c>
      <c r="D45" s="140">
        <v>27500</v>
      </c>
      <c r="E45" s="140">
        <v>40000</v>
      </c>
      <c r="F45" s="141">
        <v>19</v>
      </c>
      <c r="G45" s="142">
        <v>5</v>
      </c>
      <c r="H45" s="141">
        <f>(Table242325678910[STOK])-(Table242325678910[TERJUAL])</f>
        <v>14</v>
      </c>
      <c r="I45" s="143">
        <f>(Table242325678910[HARGA JUAL]*Table242325678910[TERJUAL])-(Table242325678910[HARGA POKOK]*Table242325678910[TERJUAL])</f>
        <v>62500</v>
      </c>
      <c r="J45" s="143">
        <f>(Table242325678910[HARGA JUAL]*Table242325678910[TERJUAL])</f>
        <v>200000</v>
      </c>
      <c r="K45" s="143">
        <f>Table242325678910[HARGA JUAL]*Table242325678910[SISA]</f>
        <v>560000</v>
      </c>
      <c r="L45" s="144">
        <f>Table242325678910[HARGA POKOK]*Table242325678910[STOK]</f>
        <v>522500</v>
      </c>
      <c r="M45" s="144">
        <f>Table242325678910[HARGA JUAL]*Table242325678910[STOK]</f>
        <v>760000</v>
      </c>
      <c r="N45" s="145"/>
    </row>
    <row r="46" spans="1:14" x14ac:dyDescent="0.25">
      <c r="A46" s="137">
        <v>42</v>
      </c>
      <c r="B46" s="138" t="s">
        <v>31</v>
      </c>
      <c r="C46" s="138" t="s">
        <v>140</v>
      </c>
      <c r="D46" s="140">
        <v>15000</v>
      </c>
      <c r="E46" s="140">
        <v>30000</v>
      </c>
      <c r="F46" s="141">
        <v>3</v>
      </c>
      <c r="G46" s="142">
        <v>3</v>
      </c>
      <c r="H46" s="141">
        <f>(Table242325678910[STOK])-(Table242325678910[TERJUAL])</f>
        <v>0</v>
      </c>
      <c r="I46" s="143">
        <f>(Table242325678910[HARGA JUAL]*Table242325678910[TERJUAL])-(Table242325678910[HARGA POKOK]*Table242325678910[TERJUAL])</f>
        <v>45000</v>
      </c>
      <c r="J46" s="143">
        <f>(Table242325678910[HARGA JUAL]*Table242325678910[TERJUAL])</f>
        <v>90000</v>
      </c>
      <c r="K46" s="143">
        <f>Table242325678910[HARGA JUAL]*Table242325678910[SISA]</f>
        <v>0</v>
      </c>
      <c r="L46" s="144">
        <f>Table242325678910[HARGA POKOK]*Table242325678910[STOK]</f>
        <v>45000</v>
      </c>
      <c r="M46" s="144">
        <f>Table242325678910[HARGA JUAL]*Table242325678910[STOK]</f>
        <v>90000</v>
      </c>
      <c r="N46" s="145"/>
    </row>
    <row r="47" spans="1:14" x14ac:dyDescent="0.25">
      <c r="A47" s="137">
        <v>43</v>
      </c>
      <c r="B47" s="138" t="s">
        <v>31</v>
      </c>
      <c r="C47" s="138" t="s">
        <v>137</v>
      </c>
      <c r="D47" s="140">
        <v>190000</v>
      </c>
      <c r="E47" s="140">
        <v>200000</v>
      </c>
      <c r="F47" s="141"/>
      <c r="G47" s="142"/>
      <c r="H47" s="141">
        <f>(Table242325678910[STOK])-(Table242325678910[TERJUAL])</f>
        <v>0</v>
      </c>
      <c r="I47" s="143">
        <f>(Table242325678910[HARGA JUAL]*Table242325678910[TERJUAL])-(Table242325678910[HARGA POKOK]*Table242325678910[TERJUAL])</f>
        <v>0</v>
      </c>
      <c r="J47" s="143">
        <f>(Table242325678910[HARGA JUAL]*Table242325678910[TERJUAL])</f>
        <v>0</v>
      </c>
      <c r="K47" s="143">
        <f>Table242325678910[HARGA JUAL]*Table242325678910[SISA]</f>
        <v>0</v>
      </c>
      <c r="L47" s="144">
        <f>Table242325678910[HARGA POKOK]*Table242325678910[STOK]</f>
        <v>0</v>
      </c>
      <c r="M47" s="144">
        <f>Table242325678910[HARGA JUAL]*Table242325678910[STOK]</f>
        <v>0</v>
      </c>
      <c r="N47" s="145"/>
    </row>
    <row r="48" spans="1:14" x14ac:dyDescent="0.25">
      <c r="A48" s="137">
        <v>44</v>
      </c>
      <c r="B48" s="138" t="s">
        <v>31</v>
      </c>
      <c r="C48" s="138" t="s">
        <v>139</v>
      </c>
      <c r="D48" s="140">
        <v>16000</v>
      </c>
      <c r="E48" s="140">
        <v>25000</v>
      </c>
      <c r="F48" s="141">
        <v>5</v>
      </c>
      <c r="G48" s="142">
        <v>2</v>
      </c>
      <c r="H48" s="141">
        <f>(Table242325678910[STOK])-(Table242325678910[TERJUAL])</f>
        <v>3</v>
      </c>
      <c r="I48" s="143">
        <f>(Table242325678910[HARGA JUAL]*Table242325678910[TERJUAL])-(Table242325678910[HARGA POKOK]*Table242325678910[TERJUAL])</f>
        <v>18000</v>
      </c>
      <c r="J48" s="143">
        <f>(Table242325678910[HARGA JUAL]*Table242325678910[TERJUAL])</f>
        <v>50000</v>
      </c>
      <c r="K48" s="143">
        <f>Table242325678910[HARGA JUAL]*Table242325678910[SISA]</f>
        <v>75000</v>
      </c>
      <c r="L48" s="144">
        <f>Table242325678910[HARGA POKOK]*Table242325678910[STOK]</f>
        <v>80000</v>
      </c>
      <c r="M48" s="144">
        <f>Table242325678910[HARGA JUAL]*Table242325678910[STOK]</f>
        <v>125000</v>
      </c>
      <c r="N48" s="145"/>
    </row>
    <row r="49" spans="1:14" x14ac:dyDescent="0.25">
      <c r="A49" s="137">
        <v>45</v>
      </c>
      <c r="B49" s="138" t="s">
        <v>31</v>
      </c>
      <c r="C49" s="138" t="s">
        <v>134</v>
      </c>
      <c r="D49" s="140">
        <v>18000</v>
      </c>
      <c r="E49" s="140">
        <v>30000</v>
      </c>
      <c r="F49" s="141">
        <v>7</v>
      </c>
      <c r="G49" s="142">
        <v>2</v>
      </c>
      <c r="H49" s="141">
        <f>(Table242325678910[STOK])-(Table242325678910[TERJUAL])</f>
        <v>5</v>
      </c>
      <c r="I49" s="143">
        <f>(Table242325678910[HARGA JUAL]*Table242325678910[TERJUAL])-(Table242325678910[HARGA POKOK]*Table242325678910[TERJUAL])</f>
        <v>24000</v>
      </c>
      <c r="J49" s="143">
        <f>(Table242325678910[HARGA JUAL]*Table242325678910[TERJUAL])</f>
        <v>60000</v>
      </c>
      <c r="K49" s="143">
        <f>Table242325678910[HARGA JUAL]*Table242325678910[SISA]</f>
        <v>150000</v>
      </c>
      <c r="L49" s="144">
        <f>Table242325678910[HARGA POKOK]*Table242325678910[STOK]</f>
        <v>126000</v>
      </c>
      <c r="M49" s="144">
        <f>Table242325678910[HARGA JUAL]*Table242325678910[STOK]</f>
        <v>210000</v>
      </c>
      <c r="N49" s="145"/>
    </row>
    <row r="50" spans="1:14" x14ac:dyDescent="0.25">
      <c r="A50" s="137">
        <v>46</v>
      </c>
      <c r="B50" s="138" t="s">
        <v>31</v>
      </c>
      <c r="C50" s="138" t="s">
        <v>183</v>
      </c>
      <c r="D50" s="140">
        <v>18000</v>
      </c>
      <c r="E50" s="140">
        <v>30000</v>
      </c>
      <c r="F50" s="141">
        <v>2</v>
      </c>
      <c r="G50" s="142">
        <v>1</v>
      </c>
      <c r="H50" s="141">
        <f>(Table242325678910[STOK])-(Table242325678910[TERJUAL])</f>
        <v>1</v>
      </c>
      <c r="I50" s="143">
        <f>(Table242325678910[HARGA JUAL]*Table242325678910[TERJUAL])-(Table242325678910[HARGA POKOK]*Table242325678910[TERJUAL])</f>
        <v>12000</v>
      </c>
      <c r="J50" s="143">
        <f>(Table242325678910[HARGA JUAL]*Table242325678910[TERJUAL])</f>
        <v>30000</v>
      </c>
      <c r="K50" s="143">
        <f>Table242325678910[HARGA JUAL]*Table242325678910[SISA]</f>
        <v>30000</v>
      </c>
      <c r="L50" s="144">
        <f>Table242325678910[HARGA POKOK]*Table242325678910[STOK]</f>
        <v>36000</v>
      </c>
      <c r="M50" s="144">
        <f>Table242325678910[HARGA JUAL]*Table242325678910[STOK]</f>
        <v>60000</v>
      </c>
      <c r="N50" s="145"/>
    </row>
    <row r="51" spans="1:14" x14ac:dyDescent="0.25">
      <c r="A51" s="137">
        <v>47</v>
      </c>
      <c r="B51" s="138" t="s">
        <v>31</v>
      </c>
      <c r="C51" s="138" t="s">
        <v>184</v>
      </c>
      <c r="D51" s="140">
        <v>12500</v>
      </c>
      <c r="E51" s="140">
        <v>30000</v>
      </c>
      <c r="F51" s="141">
        <v>111</v>
      </c>
      <c r="G51" s="142">
        <v>6</v>
      </c>
      <c r="H51" s="141">
        <f>(Table242325678910[STOK])-(Table242325678910[TERJUAL])</f>
        <v>105</v>
      </c>
      <c r="I51" s="143">
        <f>(Table242325678910[HARGA JUAL]*Table242325678910[TERJUAL])-(Table242325678910[HARGA POKOK]*Table242325678910[TERJUAL])</f>
        <v>105000</v>
      </c>
      <c r="J51" s="143">
        <f>(Table242325678910[HARGA JUAL]*Table242325678910[TERJUAL])</f>
        <v>180000</v>
      </c>
      <c r="K51" s="143">
        <f>Table242325678910[HARGA JUAL]*Table242325678910[SISA]</f>
        <v>3150000</v>
      </c>
      <c r="L51" s="144">
        <f>Table242325678910[HARGA POKOK]*Table242325678910[STOK]</f>
        <v>1387500</v>
      </c>
      <c r="M51" s="144">
        <f>Table242325678910[HARGA JUAL]*Table242325678910[STOK]</f>
        <v>3330000</v>
      </c>
      <c r="N51" s="145"/>
    </row>
    <row r="52" spans="1:14" x14ac:dyDescent="0.25">
      <c r="A52" s="137">
        <v>48</v>
      </c>
      <c r="B52" s="138" t="s">
        <v>31</v>
      </c>
      <c r="C52" s="138" t="s">
        <v>185</v>
      </c>
      <c r="D52" s="140">
        <v>28500</v>
      </c>
      <c r="E52" s="140">
        <v>40000</v>
      </c>
      <c r="F52" s="141">
        <v>57</v>
      </c>
      <c r="G52" s="142">
        <v>2</v>
      </c>
      <c r="H52" s="141">
        <f>(Table242325678910[STOK])-(Table242325678910[TERJUAL])</f>
        <v>55</v>
      </c>
      <c r="I52" s="143">
        <f>(Table242325678910[HARGA JUAL]*Table242325678910[TERJUAL])-(Table242325678910[HARGA POKOK]*Table242325678910[TERJUAL])</f>
        <v>23000</v>
      </c>
      <c r="J52" s="143">
        <f>(Table242325678910[HARGA JUAL]*Table242325678910[TERJUAL])</f>
        <v>80000</v>
      </c>
      <c r="K52" s="143">
        <f>Table242325678910[HARGA JUAL]*Table242325678910[SISA]</f>
        <v>2200000</v>
      </c>
      <c r="L52" s="144">
        <f>Table242325678910[HARGA POKOK]*Table242325678910[STOK]</f>
        <v>1624500</v>
      </c>
      <c r="M52" s="144">
        <f>Table242325678910[HARGA JUAL]*Table242325678910[STOK]</f>
        <v>2280000</v>
      </c>
      <c r="N52" s="145"/>
    </row>
    <row r="53" spans="1:14" x14ac:dyDescent="0.25">
      <c r="A53" s="137">
        <v>49</v>
      </c>
      <c r="B53" s="138" t="s">
        <v>31</v>
      </c>
      <c r="C53" s="138" t="s">
        <v>186</v>
      </c>
      <c r="D53" s="140">
        <v>48500</v>
      </c>
      <c r="E53" s="140">
        <v>65000</v>
      </c>
      <c r="F53" s="141">
        <v>10</v>
      </c>
      <c r="G53" s="142"/>
      <c r="H53" s="141">
        <f>(Table242325678910[STOK])-(Table242325678910[TERJUAL])</f>
        <v>10</v>
      </c>
      <c r="I53" s="143">
        <f>(Table242325678910[HARGA JUAL]*Table242325678910[TERJUAL])-(Table242325678910[HARGA POKOK]*Table242325678910[TERJUAL])</f>
        <v>0</v>
      </c>
      <c r="J53" s="143">
        <f>(Table242325678910[HARGA JUAL]*Table242325678910[TERJUAL])</f>
        <v>0</v>
      </c>
      <c r="K53" s="143">
        <f>Table242325678910[HARGA JUAL]*Table242325678910[SISA]</f>
        <v>650000</v>
      </c>
      <c r="L53" s="144">
        <f>Table242325678910[HARGA POKOK]*Table242325678910[STOK]</f>
        <v>485000</v>
      </c>
      <c r="M53" s="144">
        <f>Table242325678910[HARGA JUAL]*Table242325678910[STOK]</f>
        <v>650000</v>
      </c>
      <c r="N53" s="145"/>
    </row>
    <row r="54" spans="1:14" x14ac:dyDescent="0.25">
      <c r="A54" s="137">
        <v>50</v>
      </c>
      <c r="B54" s="138" t="s">
        <v>31</v>
      </c>
      <c r="C54" s="138" t="s">
        <v>187</v>
      </c>
      <c r="D54" s="140">
        <v>47500</v>
      </c>
      <c r="E54" s="140">
        <v>65000</v>
      </c>
      <c r="F54" s="141">
        <v>78</v>
      </c>
      <c r="G54" s="142">
        <v>1</v>
      </c>
      <c r="H54" s="141">
        <f>(Table242325678910[STOK])-(Table242325678910[TERJUAL])</f>
        <v>77</v>
      </c>
      <c r="I54" s="143">
        <f>(Table242325678910[HARGA JUAL]*Table242325678910[TERJUAL])-(Table242325678910[HARGA POKOK]*Table242325678910[TERJUAL])</f>
        <v>17500</v>
      </c>
      <c r="J54" s="143">
        <f>(Table242325678910[HARGA JUAL]*Table242325678910[TERJUAL])</f>
        <v>65000</v>
      </c>
      <c r="K54" s="143">
        <f>Table242325678910[HARGA JUAL]*Table242325678910[SISA]</f>
        <v>5005000</v>
      </c>
      <c r="L54" s="144">
        <f>Table242325678910[HARGA POKOK]*Table242325678910[STOK]</f>
        <v>3705000</v>
      </c>
      <c r="M54" s="144">
        <f>Table242325678910[HARGA JUAL]*Table242325678910[STOK]</f>
        <v>5070000</v>
      </c>
      <c r="N54" s="145"/>
    </row>
    <row r="55" spans="1:14" x14ac:dyDescent="0.25">
      <c r="A55" s="137">
        <v>51</v>
      </c>
      <c r="B55" s="138" t="s">
        <v>32</v>
      </c>
      <c r="C55" s="138" t="s">
        <v>18</v>
      </c>
      <c r="D55" s="140">
        <v>1700</v>
      </c>
      <c r="E55" s="140">
        <v>5000</v>
      </c>
      <c r="F55" s="141">
        <v>168</v>
      </c>
      <c r="G55" s="142">
        <v>39</v>
      </c>
      <c r="H55" s="141">
        <f>(Table242325678910[STOK])-(Table242325678910[TERJUAL])</f>
        <v>129</v>
      </c>
      <c r="I55" s="143">
        <f>(Table242325678910[HARGA JUAL]*Table242325678910[TERJUAL])-(Table242325678910[HARGA POKOK]*Table242325678910[TERJUAL])</f>
        <v>128700</v>
      </c>
      <c r="J55" s="143">
        <f>(Table242325678910[HARGA JUAL]*Table242325678910[TERJUAL])</f>
        <v>195000</v>
      </c>
      <c r="K55" s="143">
        <f>Table242325678910[HARGA JUAL]*Table242325678910[SISA]</f>
        <v>645000</v>
      </c>
      <c r="L55" s="144">
        <f>Table242325678910[HARGA POKOK]*Table242325678910[STOK]</f>
        <v>285600</v>
      </c>
      <c r="M55" s="144">
        <f>Table242325678910[HARGA JUAL]*Table242325678910[STOK]</f>
        <v>840000</v>
      </c>
      <c r="N55" s="145"/>
    </row>
    <row r="56" spans="1:14" x14ac:dyDescent="0.25">
      <c r="A56" s="137">
        <v>52</v>
      </c>
      <c r="B56" s="138" t="s">
        <v>32</v>
      </c>
      <c r="C56" s="138" t="s">
        <v>21</v>
      </c>
      <c r="D56" s="140">
        <v>30000</v>
      </c>
      <c r="E56" s="140">
        <v>45000</v>
      </c>
      <c r="F56" s="141">
        <v>10</v>
      </c>
      <c r="G56" s="142">
        <v>1</v>
      </c>
      <c r="H56" s="141">
        <f>(Table242325678910[STOK])-(Table242325678910[TERJUAL])</f>
        <v>9</v>
      </c>
      <c r="I56" s="143">
        <f>(Table242325678910[HARGA JUAL]*Table242325678910[TERJUAL])-(Table242325678910[HARGA POKOK]*Table242325678910[TERJUAL])</f>
        <v>15000</v>
      </c>
      <c r="J56" s="143">
        <f>(Table242325678910[HARGA JUAL]*Table242325678910[TERJUAL])</f>
        <v>45000</v>
      </c>
      <c r="K56" s="143">
        <f>Table242325678910[HARGA JUAL]*Table242325678910[SISA]</f>
        <v>405000</v>
      </c>
      <c r="L56" s="144">
        <f>Table242325678910[HARGA POKOK]*Table242325678910[STOK]</f>
        <v>300000</v>
      </c>
      <c r="M56" s="144">
        <f>Table242325678910[HARGA JUAL]*Table242325678910[STOK]</f>
        <v>450000</v>
      </c>
      <c r="N56" s="145"/>
    </row>
    <row r="57" spans="1:14" x14ac:dyDescent="0.25">
      <c r="A57" s="137">
        <v>53</v>
      </c>
      <c r="B57" s="138" t="s">
        <v>32</v>
      </c>
      <c r="C57" s="138" t="s">
        <v>20</v>
      </c>
      <c r="D57" s="140">
        <v>1500</v>
      </c>
      <c r="E57" s="140">
        <v>5000</v>
      </c>
      <c r="F57" s="141">
        <v>90</v>
      </c>
      <c r="G57" s="142"/>
      <c r="H57" s="141">
        <f>(Table242325678910[STOK])-(Table242325678910[TERJUAL])</f>
        <v>90</v>
      </c>
      <c r="I57" s="143">
        <f>(Table242325678910[HARGA JUAL]*Table242325678910[TERJUAL])-(Table242325678910[HARGA POKOK]*Table242325678910[TERJUAL])</f>
        <v>0</v>
      </c>
      <c r="J57" s="143">
        <f>(Table242325678910[HARGA JUAL]*Table242325678910[TERJUAL])</f>
        <v>0</v>
      </c>
      <c r="K57" s="143">
        <f>Table242325678910[HARGA JUAL]*Table242325678910[SISA]</f>
        <v>450000</v>
      </c>
      <c r="L57" s="144">
        <f>Table242325678910[HARGA POKOK]*Table242325678910[STOK]</f>
        <v>135000</v>
      </c>
      <c r="M57" s="144">
        <f>Table242325678910[HARGA JUAL]*Table242325678910[STOK]</f>
        <v>450000</v>
      </c>
      <c r="N57" s="145"/>
    </row>
    <row r="58" spans="1:14" x14ac:dyDescent="0.25">
      <c r="A58" s="137">
        <v>54</v>
      </c>
      <c r="B58" s="138" t="s">
        <v>32</v>
      </c>
      <c r="C58" s="138" t="s">
        <v>23</v>
      </c>
      <c r="D58" s="140">
        <v>30000</v>
      </c>
      <c r="E58" s="140">
        <v>40000</v>
      </c>
      <c r="F58" s="141">
        <v>10</v>
      </c>
      <c r="G58" s="142"/>
      <c r="H58" s="141">
        <f>(Table242325678910[STOK])-(Table242325678910[TERJUAL])</f>
        <v>10</v>
      </c>
      <c r="I58" s="143">
        <f>(Table242325678910[HARGA JUAL]*Table242325678910[TERJUAL])-(Table242325678910[HARGA POKOK]*Table242325678910[TERJUAL])</f>
        <v>0</v>
      </c>
      <c r="J58" s="143">
        <f>(Table242325678910[HARGA JUAL]*Table242325678910[TERJUAL])</f>
        <v>0</v>
      </c>
      <c r="K58" s="143">
        <f>Table242325678910[HARGA JUAL]*Table242325678910[SISA]</f>
        <v>400000</v>
      </c>
      <c r="L58" s="144">
        <f>Table242325678910[HARGA POKOK]*Table242325678910[STOK]</f>
        <v>300000</v>
      </c>
      <c r="M58" s="144">
        <f>Table242325678910[HARGA JUAL]*Table242325678910[STOK]</f>
        <v>400000</v>
      </c>
      <c r="N58" s="145"/>
    </row>
    <row r="59" spans="1:14" x14ac:dyDescent="0.25">
      <c r="A59" s="137">
        <v>55</v>
      </c>
      <c r="B59" s="138" t="s">
        <v>32</v>
      </c>
      <c r="C59" s="138" t="s">
        <v>19</v>
      </c>
      <c r="D59" s="140">
        <v>1600</v>
      </c>
      <c r="E59" s="140">
        <v>5000</v>
      </c>
      <c r="F59" s="141">
        <v>172</v>
      </c>
      <c r="G59" s="142">
        <v>10</v>
      </c>
      <c r="H59" s="141">
        <f>(Table242325678910[STOK])-(Table242325678910[TERJUAL])</f>
        <v>162</v>
      </c>
      <c r="I59" s="143">
        <f>(Table242325678910[HARGA JUAL]*Table242325678910[TERJUAL])-(Table242325678910[HARGA POKOK]*Table242325678910[TERJUAL])</f>
        <v>34000</v>
      </c>
      <c r="J59" s="143">
        <f>(Table242325678910[HARGA JUAL]*Table242325678910[TERJUAL])</f>
        <v>50000</v>
      </c>
      <c r="K59" s="143">
        <f>Table242325678910[HARGA JUAL]*Table242325678910[SISA]</f>
        <v>810000</v>
      </c>
      <c r="L59" s="144">
        <f>Table242325678910[HARGA POKOK]*Table242325678910[STOK]</f>
        <v>275200</v>
      </c>
      <c r="M59" s="144">
        <f>Table242325678910[HARGA JUAL]*Table242325678910[STOK]</f>
        <v>860000</v>
      </c>
      <c r="N59" s="145"/>
    </row>
    <row r="60" spans="1:14" x14ac:dyDescent="0.25">
      <c r="A60" s="137">
        <v>56</v>
      </c>
      <c r="B60" s="138" t="s">
        <v>32</v>
      </c>
      <c r="C60" s="138" t="s">
        <v>22</v>
      </c>
      <c r="D60" s="140">
        <v>30000</v>
      </c>
      <c r="E60" s="140">
        <v>40000</v>
      </c>
      <c r="F60" s="141">
        <v>10</v>
      </c>
      <c r="G60" s="142"/>
      <c r="H60" s="141">
        <f>(Table242325678910[STOK])-(Table242325678910[TERJUAL])</f>
        <v>10</v>
      </c>
      <c r="I60" s="143">
        <f>(Table242325678910[HARGA JUAL]*Table242325678910[TERJUAL])-(Table242325678910[HARGA POKOK]*Table242325678910[TERJUAL])</f>
        <v>0</v>
      </c>
      <c r="J60" s="143">
        <f>(Table242325678910[HARGA JUAL]*Table242325678910[TERJUAL])</f>
        <v>0</v>
      </c>
      <c r="K60" s="143">
        <f>Table242325678910[HARGA JUAL]*Table242325678910[SISA]</f>
        <v>400000</v>
      </c>
      <c r="L60" s="144">
        <f>Table242325678910[HARGA POKOK]*Table242325678910[STOK]</f>
        <v>300000</v>
      </c>
      <c r="M60" s="144">
        <f>Table242325678910[HARGA JUAL]*Table242325678910[STOK]</f>
        <v>400000</v>
      </c>
      <c r="N60" s="145"/>
    </row>
    <row r="61" spans="1:14" x14ac:dyDescent="0.25">
      <c r="A61" s="137">
        <v>57</v>
      </c>
      <c r="B61" s="138" t="s">
        <v>32</v>
      </c>
      <c r="C61" s="138" t="s">
        <v>24</v>
      </c>
      <c r="D61" s="140">
        <v>17500</v>
      </c>
      <c r="E61" s="140">
        <v>40000</v>
      </c>
      <c r="F61" s="141">
        <v>1</v>
      </c>
      <c r="G61" s="142">
        <v>1</v>
      </c>
      <c r="H61" s="141">
        <f>(Table242325678910[STOK])-(Table242325678910[TERJUAL])</f>
        <v>0</v>
      </c>
      <c r="I61" s="143">
        <f>(Table242325678910[HARGA JUAL]*Table242325678910[TERJUAL])-(Table242325678910[HARGA POKOK]*Table242325678910[TERJUAL])</f>
        <v>22500</v>
      </c>
      <c r="J61" s="143">
        <f>(Table242325678910[HARGA JUAL]*Table242325678910[TERJUAL])</f>
        <v>40000</v>
      </c>
      <c r="K61" s="143">
        <f>Table242325678910[HARGA JUAL]*Table242325678910[SISA]</f>
        <v>0</v>
      </c>
      <c r="L61" s="144">
        <f>Table242325678910[HARGA POKOK]*Table242325678910[STOK]</f>
        <v>17500</v>
      </c>
      <c r="M61" s="144">
        <f>Table242325678910[HARGA JUAL]*Table242325678910[STOK]</f>
        <v>40000</v>
      </c>
      <c r="N61" s="145"/>
    </row>
    <row r="62" spans="1:14" x14ac:dyDescent="0.25">
      <c r="A62" s="137">
        <v>58</v>
      </c>
      <c r="B62" s="138" t="s">
        <v>144</v>
      </c>
      <c r="C62" s="138" t="s">
        <v>145</v>
      </c>
      <c r="D62" s="140">
        <v>3000</v>
      </c>
      <c r="E62" s="140">
        <v>6000</v>
      </c>
      <c r="F62" s="141">
        <v>66</v>
      </c>
      <c r="G62" s="142">
        <v>5</v>
      </c>
      <c r="H62" s="141">
        <f>(Table242325678910[STOK])-(Table242325678910[TERJUAL])</f>
        <v>61</v>
      </c>
      <c r="I62" s="143">
        <f>(Table242325678910[HARGA JUAL]*Table242325678910[TERJUAL])-(Table242325678910[HARGA POKOK]*Table242325678910[TERJUAL])</f>
        <v>15000</v>
      </c>
      <c r="J62" s="143">
        <f>(Table242325678910[HARGA JUAL]*Table242325678910[TERJUAL])</f>
        <v>30000</v>
      </c>
      <c r="K62" s="143">
        <f>Table242325678910[HARGA JUAL]*Table242325678910[SISA]</f>
        <v>366000</v>
      </c>
      <c r="L62" s="144">
        <f>Table242325678910[HARGA POKOK]*Table242325678910[STOK]</f>
        <v>198000</v>
      </c>
      <c r="M62" s="144">
        <f>Table242325678910[HARGA JUAL]*Table242325678910[STOK]</f>
        <v>396000</v>
      </c>
      <c r="N62" s="145"/>
    </row>
    <row r="63" spans="1:14" x14ac:dyDescent="0.25">
      <c r="A63" s="137">
        <v>59</v>
      </c>
      <c r="B63" s="138" t="s">
        <v>33</v>
      </c>
      <c r="C63" s="138" t="s">
        <v>188</v>
      </c>
      <c r="D63" s="140">
        <v>325000</v>
      </c>
      <c r="E63" s="140">
        <v>475000</v>
      </c>
      <c r="F63" s="141">
        <v>256</v>
      </c>
      <c r="G63" s="142">
        <v>11</v>
      </c>
      <c r="H63" s="141">
        <f>(Table242325678910[STOK])-(Table242325678910[TERJUAL])</f>
        <v>245</v>
      </c>
      <c r="I63" s="143">
        <f>(Table242325678910[HARGA JUAL]*Table242325678910[TERJUAL])-(Table242325678910[HARGA POKOK]*Table242325678910[TERJUAL])</f>
        <v>1650000</v>
      </c>
      <c r="J63" s="143">
        <f>(Table242325678910[HARGA JUAL]*Table242325678910[TERJUAL])</f>
        <v>5225000</v>
      </c>
      <c r="K63" s="143">
        <f>Table242325678910[HARGA JUAL]*Table242325678910[SISA]</f>
        <v>116375000</v>
      </c>
      <c r="L63" s="144">
        <f>Table242325678910[HARGA POKOK]*Table242325678910[STOK]</f>
        <v>83200000</v>
      </c>
      <c r="M63" s="144">
        <f>Table242325678910[HARGA JUAL]*Table242325678910[STOK]</f>
        <v>121600000</v>
      </c>
      <c r="N63" s="145"/>
    </row>
    <row r="64" spans="1:14" x14ac:dyDescent="0.25">
      <c r="A64" s="137">
        <v>60</v>
      </c>
      <c r="B64" s="138" t="s">
        <v>33</v>
      </c>
      <c r="C64" s="138" t="s">
        <v>189</v>
      </c>
      <c r="D64" s="140">
        <v>452000</v>
      </c>
      <c r="E64" s="140">
        <v>560000</v>
      </c>
      <c r="F64" s="141">
        <v>8</v>
      </c>
      <c r="G64" s="142"/>
      <c r="H64" s="141">
        <f>(Table242325678910[STOK])-(Table242325678910[TERJUAL])</f>
        <v>8</v>
      </c>
      <c r="I64" s="143">
        <f>(Table242325678910[HARGA JUAL]*Table242325678910[TERJUAL])-(Table242325678910[HARGA POKOK]*Table242325678910[TERJUAL])</f>
        <v>0</v>
      </c>
      <c r="J64" s="143">
        <f>(Table242325678910[HARGA JUAL]*Table242325678910[TERJUAL])</f>
        <v>0</v>
      </c>
      <c r="K64" s="143">
        <f>Table242325678910[HARGA JUAL]*Table242325678910[SISA]</f>
        <v>4480000</v>
      </c>
      <c r="L64" s="144">
        <f>Table242325678910[HARGA POKOK]*Table242325678910[STOK]</f>
        <v>3616000</v>
      </c>
      <c r="M64" s="144">
        <f>Table242325678910[HARGA JUAL]*Table242325678910[STOK]</f>
        <v>4480000</v>
      </c>
      <c r="N64" s="145"/>
    </row>
    <row r="65" spans="1:14" x14ac:dyDescent="0.25">
      <c r="A65" s="137">
        <v>61</v>
      </c>
      <c r="B65" s="138" t="s">
        <v>192</v>
      </c>
      <c r="C65" s="138" t="s">
        <v>142</v>
      </c>
      <c r="D65" s="140">
        <v>310000</v>
      </c>
      <c r="E65" s="140">
        <v>435000</v>
      </c>
      <c r="F65" s="141">
        <v>2</v>
      </c>
      <c r="G65" s="142"/>
      <c r="H65" s="141">
        <f>(Table242325678910[STOK])-(Table242325678910[TERJUAL])</f>
        <v>2</v>
      </c>
      <c r="I65" s="143">
        <f>(Table242325678910[HARGA JUAL]*Table242325678910[TERJUAL])-(Table242325678910[HARGA POKOK]*Table242325678910[TERJUAL])</f>
        <v>0</v>
      </c>
      <c r="J65" s="143">
        <f>(Table242325678910[HARGA JUAL]*Table242325678910[TERJUAL])</f>
        <v>0</v>
      </c>
      <c r="K65" s="143">
        <f>Table242325678910[HARGA JUAL]*Table242325678910[SISA]</f>
        <v>870000</v>
      </c>
      <c r="L65" s="144">
        <f>Table242325678910[HARGA POKOK]*Table242325678910[STOK]</f>
        <v>620000</v>
      </c>
      <c r="M65" s="144">
        <f>Table242325678910[HARGA JUAL]*Table242325678910[STOK]</f>
        <v>870000</v>
      </c>
      <c r="N65" s="145"/>
    </row>
    <row r="66" spans="1:14" x14ac:dyDescent="0.25">
      <c r="A66" s="137">
        <v>62</v>
      </c>
      <c r="B66" s="138" t="s">
        <v>192</v>
      </c>
      <c r="C66" s="138" t="s">
        <v>190</v>
      </c>
      <c r="D66" s="140">
        <v>280000</v>
      </c>
      <c r="E66" s="140">
        <v>475000</v>
      </c>
      <c r="F66" s="141">
        <v>0</v>
      </c>
      <c r="G66" s="142"/>
      <c r="H66" s="141">
        <f>(Table242325678910[STOK])-(Table242325678910[TERJUAL])</f>
        <v>0</v>
      </c>
      <c r="I66" s="143">
        <f>(Table242325678910[HARGA JUAL]*Table242325678910[TERJUAL])-(Table242325678910[HARGA POKOK]*Table242325678910[TERJUAL])</f>
        <v>0</v>
      </c>
      <c r="J66" s="143">
        <f>(Table242325678910[HARGA JUAL]*Table242325678910[TERJUAL])</f>
        <v>0</v>
      </c>
      <c r="K66" s="143">
        <f>Table242325678910[HARGA JUAL]*Table242325678910[SISA]</f>
        <v>0</v>
      </c>
      <c r="L66" s="144">
        <f>Table242325678910[HARGA POKOK]*Table242325678910[STOK]</f>
        <v>0</v>
      </c>
      <c r="M66" s="144">
        <f>Table242325678910[HARGA JUAL]*Table242325678910[STOK]</f>
        <v>0</v>
      </c>
      <c r="N66" s="145"/>
    </row>
    <row r="67" spans="1:14" x14ac:dyDescent="0.25">
      <c r="A67" s="137">
        <v>63</v>
      </c>
      <c r="B67" s="138" t="s">
        <v>193</v>
      </c>
      <c r="C67" s="138" t="s">
        <v>191</v>
      </c>
      <c r="D67" s="140">
        <v>8800</v>
      </c>
      <c r="E67" s="140">
        <v>15000</v>
      </c>
      <c r="F67" s="141">
        <v>74</v>
      </c>
      <c r="G67" s="142">
        <v>5</v>
      </c>
      <c r="H67" s="141">
        <f>(Table242325678910[STOK])-(Table242325678910[TERJUAL])</f>
        <v>69</v>
      </c>
      <c r="I67" s="143">
        <f>(Table242325678910[HARGA JUAL]*Table242325678910[TERJUAL])-(Table242325678910[HARGA POKOK]*Table242325678910[TERJUAL])</f>
        <v>31000</v>
      </c>
      <c r="J67" s="143">
        <f>(Table242325678910[HARGA JUAL]*Table242325678910[TERJUAL])</f>
        <v>75000</v>
      </c>
      <c r="K67" s="143">
        <f>Table242325678910[HARGA JUAL]*Table242325678910[SISA]</f>
        <v>1035000</v>
      </c>
      <c r="L67" s="144">
        <f>Table242325678910[HARGA POKOK]*Table242325678910[STOK]</f>
        <v>651200</v>
      </c>
      <c r="M67" s="144">
        <f>Table242325678910[HARGA JUAL]*Table242325678910[STOK]</f>
        <v>1110000</v>
      </c>
      <c r="N67" s="145"/>
    </row>
    <row r="68" spans="1:14" x14ac:dyDescent="0.25">
      <c r="A68" s="137">
        <v>64</v>
      </c>
      <c r="B68" s="138" t="s">
        <v>193</v>
      </c>
      <c r="C68" s="138" t="s">
        <v>214</v>
      </c>
      <c r="D68" s="140">
        <v>8700</v>
      </c>
      <c r="E68" s="140">
        <v>15000</v>
      </c>
      <c r="F68" s="141">
        <v>81</v>
      </c>
      <c r="G68" s="142">
        <v>16</v>
      </c>
      <c r="H68" s="141">
        <f>(Table242325678910[STOK])-(Table242325678910[TERJUAL])</f>
        <v>65</v>
      </c>
      <c r="I68" s="143">
        <f>(Table242325678910[HARGA JUAL]*Table242325678910[TERJUAL])-(Table242325678910[HARGA POKOK]*Table242325678910[TERJUAL])</f>
        <v>100800</v>
      </c>
      <c r="J68" s="143">
        <f>(Table242325678910[HARGA JUAL]*Table242325678910[TERJUAL])</f>
        <v>240000</v>
      </c>
      <c r="K68" s="143">
        <f>Table242325678910[HARGA JUAL]*Table242325678910[SISA]</f>
        <v>975000</v>
      </c>
      <c r="L68" s="144">
        <f>Table242325678910[HARGA POKOK]*Table242325678910[STOK]</f>
        <v>704700</v>
      </c>
      <c r="M68" s="144">
        <f>Table242325678910[HARGA JUAL]*Table242325678910[STOK]</f>
        <v>1215000</v>
      </c>
      <c r="N68" s="145"/>
    </row>
    <row r="69" spans="1:14" x14ac:dyDescent="0.25">
      <c r="A69" s="137">
        <v>65</v>
      </c>
      <c r="B69" s="138" t="s">
        <v>206</v>
      </c>
      <c r="C69" s="138" t="s">
        <v>207</v>
      </c>
      <c r="D69" s="140">
        <v>12000</v>
      </c>
      <c r="E69" s="140">
        <v>28000</v>
      </c>
      <c r="F69" s="141">
        <v>5</v>
      </c>
      <c r="G69" s="142">
        <v>2</v>
      </c>
      <c r="H69" s="141">
        <f>(Table242325678910[STOK])-(Table242325678910[TERJUAL])</f>
        <v>3</v>
      </c>
      <c r="I69" s="143">
        <f>(Table242325678910[HARGA JUAL]*Table242325678910[TERJUAL])-(Table242325678910[HARGA POKOK]*Table242325678910[TERJUAL])</f>
        <v>32000</v>
      </c>
      <c r="J69" s="143">
        <f>(Table242325678910[HARGA JUAL]*Table242325678910[TERJUAL])</f>
        <v>56000</v>
      </c>
      <c r="K69" s="143">
        <f>Table242325678910[HARGA JUAL]*Table242325678910[SISA]</f>
        <v>84000</v>
      </c>
      <c r="L69" s="144">
        <f>Table242325678910[HARGA POKOK]*Table242325678910[STOK]</f>
        <v>60000</v>
      </c>
      <c r="M69" s="144">
        <f>Table242325678910[HARGA JUAL]*Table242325678910[STOK]</f>
        <v>140000</v>
      </c>
      <c r="N69" s="145"/>
    </row>
    <row r="70" spans="1:14" x14ac:dyDescent="0.25">
      <c r="A70" s="137">
        <v>66</v>
      </c>
      <c r="B70" s="138" t="s">
        <v>206</v>
      </c>
      <c r="C70" s="138" t="s">
        <v>208</v>
      </c>
      <c r="D70" s="140">
        <v>21000</v>
      </c>
      <c r="E70" s="140">
        <v>40000</v>
      </c>
      <c r="F70" s="141">
        <v>7</v>
      </c>
      <c r="G70" s="142"/>
      <c r="H70" s="141">
        <f>(Table242325678910[STOK])-(Table242325678910[TERJUAL])</f>
        <v>7</v>
      </c>
      <c r="I70" s="143">
        <f>(Table242325678910[HARGA JUAL]*Table242325678910[TERJUAL])-(Table242325678910[HARGA POKOK]*Table242325678910[TERJUAL])</f>
        <v>0</v>
      </c>
      <c r="J70" s="143">
        <f>(Table242325678910[HARGA JUAL]*Table242325678910[TERJUAL])</f>
        <v>0</v>
      </c>
      <c r="K70" s="143">
        <f>Table242325678910[HARGA JUAL]*Table242325678910[SISA]</f>
        <v>280000</v>
      </c>
      <c r="L70" s="144">
        <f>Table242325678910[HARGA POKOK]*Table242325678910[STOK]</f>
        <v>147000</v>
      </c>
      <c r="M70" s="144">
        <f>Table242325678910[HARGA JUAL]*Table242325678910[STOK]</f>
        <v>280000</v>
      </c>
      <c r="N70" s="145"/>
    </row>
    <row r="71" spans="1:14" x14ac:dyDescent="0.25">
      <c r="A71" s="137">
        <v>67</v>
      </c>
      <c r="B71" s="138" t="s">
        <v>209</v>
      </c>
      <c r="C71" s="138" t="s">
        <v>210</v>
      </c>
      <c r="D71" s="140">
        <v>20000</v>
      </c>
      <c r="E71" s="140">
        <v>40000</v>
      </c>
      <c r="F71" s="141">
        <v>10</v>
      </c>
      <c r="G71" s="142"/>
      <c r="H71" s="141">
        <f>(Table242325678910[STOK])-(Table242325678910[TERJUAL])</f>
        <v>10</v>
      </c>
      <c r="I71" s="143">
        <f>(Table242325678910[HARGA JUAL]*Table242325678910[TERJUAL])-(Table242325678910[HARGA POKOK]*Table242325678910[TERJUAL])</f>
        <v>0</v>
      </c>
      <c r="J71" s="143">
        <f>(Table242325678910[HARGA JUAL]*Table242325678910[TERJUAL])</f>
        <v>0</v>
      </c>
      <c r="K71" s="143">
        <f>Table242325678910[HARGA JUAL]*Table242325678910[SISA]</f>
        <v>400000</v>
      </c>
      <c r="L71" s="144">
        <f>Table242325678910[HARGA POKOK]*Table242325678910[STOK]</f>
        <v>200000</v>
      </c>
      <c r="M71" s="144">
        <f>Table242325678910[HARGA JUAL]*Table242325678910[STOK]</f>
        <v>400000</v>
      </c>
      <c r="N71" s="145"/>
    </row>
    <row r="72" spans="1:14" x14ac:dyDescent="0.25">
      <c r="A72" s="137">
        <v>68</v>
      </c>
      <c r="B72" s="138" t="s">
        <v>209</v>
      </c>
      <c r="C72" s="138" t="s">
        <v>211</v>
      </c>
      <c r="D72" s="140">
        <v>26000</v>
      </c>
      <c r="E72" s="140">
        <v>45000</v>
      </c>
      <c r="F72" s="141">
        <v>10</v>
      </c>
      <c r="G72" s="142"/>
      <c r="H72" s="141">
        <f>(Table242325678910[STOK])-(Table242325678910[TERJUAL])</f>
        <v>10</v>
      </c>
      <c r="I72" s="143">
        <f>(Table242325678910[HARGA JUAL]*Table242325678910[TERJUAL])-(Table242325678910[HARGA POKOK]*Table242325678910[TERJUAL])</f>
        <v>0</v>
      </c>
      <c r="J72" s="143">
        <f>(Table242325678910[HARGA JUAL]*Table242325678910[TERJUAL])</f>
        <v>0</v>
      </c>
      <c r="K72" s="143">
        <f>Table242325678910[HARGA JUAL]*Table242325678910[SISA]</f>
        <v>450000</v>
      </c>
      <c r="L72" s="144">
        <f>Table242325678910[HARGA POKOK]*Table242325678910[STOK]</f>
        <v>260000</v>
      </c>
      <c r="M72" s="144">
        <f>Table242325678910[HARGA JUAL]*Table242325678910[STOK]</f>
        <v>450000</v>
      </c>
      <c r="N72" s="145"/>
    </row>
    <row r="73" spans="1:14" x14ac:dyDescent="0.25">
      <c r="A73" s="137">
        <v>69</v>
      </c>
      <c r="B73" s="138" t="s">
        <v>212</v>
      </c>
      <c r="C73" s="138" t="s">
        <v>213</v>
      </c>
      <c r="D73" s="140">
        <v>600000</v>
      </c>
      <c r="E73" s="140">
        <v>800000</v>
      </c>
      <c r="F73" s="141">
        <v>3</v>
      </c>
      <c r="G73" s="142"/>
      <c r="H73" s="141">
        <f>(Table242325678910[STOK])-(Table242325678910[TERJUAL])</f>
        <v>3</v>
      </c>
      <c r="I73" s="143">
        <f>(Table242325678910[HARGA JUAL]*Table242325678910[TERJUAL])-(Table242325678910[HARGA POKOK]*Table242325678910[TERJUAL])</f>
        <v>0</v>
      </c>
      <c r="J73" s="143">
        <f>(Table242325678910[HARGA JUAL]*Table242325678910[TERJUAL])</f>
        <v>0</v>
      </c>
      <c r="K73" s="143">
        <f>Table242325678910[HARGA JUAL]*Table242325678910[SISA]</f>
        <v>2400000</v>
      </c>
      <c r="L73" s="144">
        <f>Table242325678910[HARGA POKOK]*Table242325678910[STOK]</f>
        <v>1800000</v>
      </c>
      <c r="M73" s="144">
        <f>Table242325678910[HARGA JUAL]*Table242325678910[STOK]</f>
        <v>2400000</v>
      </c>
      <c r="N73" s="145"/>
    </row>
    <row r="74" spans="1:14" x14ac:dyDescent="0.25">
      <c r="A74" s="192">
        <v>70</v>
      </c>
      <c r="B74" s="193" t="s">
        <v>194</v>
      </c>
      <c r="C74" s="193" t="s">
        <v>194</v>
      </c>
      <c r="D74" s="194">
        <v>30000</v>
      </c>
      <c r="E74" s="194">
        <v>40000</v>
      </c>
      <c r="F74" s="195">
        <v>12</v>
      </c>
      <c r="G74" s="196">
        <v>4</v>
      </c>
      <c r="H74" s="195">
        <f>(Table242325678910[STOK])-(Table242325678910[TERJUAL])</f>
        <v>8</v>
      </c>
      <c r="I74" s="197">
        <f>(Table242325678910[HARGA JUAL]*Table242325678910[TERJUAL])-(Table242325678910[HARGA POKOK]*Table242325678910[TERJUAL])</f>
        <v>40000</v>
      </c>
      <c r="J74" s="197">
        <f>(Table242325678910[HARGA JUAL]*Table242325678910[TERJUAL])</f>
        <v>160000</v>
      </c>
      <c r="K74" s="197"/>
      <c r="L74" s="198"/>
      <c r="M74" s="198"/>
      <c r="N74" s="199"/>
    </row>
    <row r="75" spans="1:14" x14ac:dyDescent="0.25">
      <c r="A75" s="137">
        <v>71</v>
      </c>
      <c r="B75" s="146" t="s">
        <v>195</v>
      </c>
      <c r="C75" s="146" t="s">
        <v>195</v>
      </c>
      <c r="D75" s="147">
        <v>30000</v>
      </c>
      <c r="E75" s="147">
        <v>40000</v>
      </c>
      <c r="F75" s="148"/>
      <c r="G75" s="149"/>
      <c r="H75" s="148">
        <f>(Table242325678910[STOK])-(Table242325678910[TERJUAL])</f>
        <v>0</v>
      </c>
      <c r="I75" s="150">
        <f>(Table242325678910[HARGA JUAL]*Table242325678910[TERJUAL])-(Table242325678910[HARGA POKOK]*Table242325678910[TERJUAL])</f>
        <v>0</v>
      </c>
      <c r="J75" s="150">
        <f>(Table242325678910[HARGA JUAL]*Table242325678910[TERJUAL])</f>
        <v>0</v>
      </c>
      <c r="K75" s="150">
        <f>Table242325678910[HARGA JUAL]*Table242325678910[SISA]</f>
        <v>0</v>
      </c>
      <c r="L75" s="151">
        <f>Table242325678910[HARGA POKOK]*Table242325678910[STOK]</f>
        <v>0</v>
      </c>
      <c r="M75" s="151">
        <f>Table242325678910[HARGA JUAL]*Table242325678910[STOK]</f>
        <v>0</v>
      </c>
      <c r="N75" s="152"/>
    </row>
    <row r="76" spans="1:14" x14ac:dyDescent="0.25">
      <c r="A76" s="192">
        <v>72</v>
      </c>
      <c r="B76" s="193" t="s">
        <v>215</v>
      </c>
      <c r="C76" s="193" t="s">
        <v>215</v>
      </c>
      <c r="D76" s="194">
        <v>310000</v>
      </c>
      <c r="E76" s="194">
        <v>410000</v>
      </c>
      <c r="F76" s="195">
        <v>1</v>
      </c>
      <c r="G76" s="196">
        <v>1</v>
      </c>
      <c r="H76" s="195">
        <f>(Table242325678910[STOK])-(Table242325678910[TERJUAL])</f>
        <v>0</v>
      </c>
      <c r="I76" s="197">
        <f>(Table242325678910[HARGA JUAL]*Table242325678910[TERJUAL])-(Table242325678910[HARGA POKOK]*Table242325678910[TERJUAL])</f>
        <v>100000</v>
      </c>
      <c r="J76" s="197">
        <f>(Table242325678910[HARGA JUAL]*Table242325678910[TERJUAL])</f>
        <v>410000</v>
      </c>
      <c r="K76" s="197">
        <f>Table242325678910[HARGA JUAL]*Table242325678910[SISA]</f>
        <v>0</v>
      </c>
      <c r="L76" s="198">
        <f>Table242325678910[HARGA POKOK]*Table242325678910[STOK]</f>
        <v>310000</v>
      </c>
      <c r="M76" s="198">
        <f>Table242325678910[HARGA JUAL]*Table242325678910[STOK]</f>
        <v>410000</v>
      </c>
      <c r="N76" s="199"/>
    </row>
    <row r="77" spans="1:14" s="180" customFormat="1" x14ac:dyDescent="0.25">
      <c r="A77" s="137">
        <v>73</v>
      </c>
      <c r="B77" s="153" t="s">
        <v>212</v>
      </c>
      <c r="C77" s="153" t="s">
        <v>213</v>
      </c>
      <c r="D77" s="154">
        <v>6000</v>
      </c>
      <c r="E77" s="154">
        <v>8000</v>
      </c>
      <c r="F77" s="155">
        <v>72</v>
      </c>
      <c r="G77" s="178">
        <v>21</v>
      </c>
      <c r="H77" s="155">
        <f>(Table242325678910[STOK])-(Table242325678910[TERJUAL])</f>
        <v>51</v>
      </c>
      <c r="I77" s="157">
        <f>(Table242325678910[HARGA JUAL]*Table242325678910[TERJUAL])-(Table242325678910[HARGA POKOK]*Table242325678910[TERJUAL])</f>
        <v>42000</v>
      </c>
      <c r="J77" s="157">
        <f>(Table242325678910[HARGA JUAL]*Table242325678910[TERJUAL])</f>
        <v>168000</v>
      </c>
      <c r="K77" s="157"/>
      <c r="L77" s="158"/>
      <c r="M77" s="158"/>
      <c r="N77" s="179"/>
    </row>
    <row r="78" spans="1:14" s="180" customFormat="1" x14ac:dyDescent="0.25">
      <c r="A78" s="137">
        <v>74</v>
      </c>
      <c r="B78" s="153" t="s">
        <v>71</v>
      </c>
      <c r="C78" s="153" t="s">
        <v>194</v>
      </c>
      <c r="D78" s="154">
        <v>1200</v>
      </c>
      <c r="E78" s="154">
        <v>2000</v>
      </c>
      <c r="F78" s="155"/>
      <c r="G78" s="156">
        <v>80</v>
      </c>
      <c r="H78" s="155">
        <f>(Table242325678910[STOK])-(Table242325678910[TERJUAL])</f>
        <v>-80</v>
      </c>
      <c r="I78" s="157">
        <f>(Table242325678910[HARGA JUAL]*Table242325678910[TERJUAL])-(Table242325678910[HARGA POKOK]*Table242325678910[TERJUAL])</f>
        <v>64000</v>
      </c>
      <c r="J78" s="157">
        <f>(Table242325678910[HARGA JUAL]*Table242325678910[TERJUAL])</f>
        <v>160000</v>
      </c>
      <c r="K78" s="157"/>
      <c r="L78" s="158"/>
      <c r="M78" s="158"/>
      <c r="N78" s="179"/>
    </row>
    <row r="79" spans="1:14" s="180" customFormat="1" x14ac:dyDescent="0.25">
      <c r="A79" s="137">
        <v>75</v>
      </c>
      <c r="B79" s="153" t="s">
        <v>71</v>
      </c>
      <c r="C79" s="153" t="s">
        <v>195</v>
      </c>
      <c r="D79" s="154">
        <v>700</v>
      </c>
      <c r="E79" s="154">
        <v>1200</v>
      </c>
      <c r="F79" s="155"/>
      <c r="G79" s="156"/>
      <c r="H79" s="155">
        <f>(Table242325678910[STOK])-(Table242325678910[TERJUAL])</f>
        <v>0</v>
      </c>
      <c r="I79" s="157">
        <f>(Table242325678910[HARGA JUAL]*Table242325678910[TERJUAL])-(Table242325678910[HARGA POKOK]*Table242325678910[TERJUAL])</f>
        <v>0</v>
      </c>
      <c r="J79" s="157">
        <f>(Table242325678910[HARGA JUAL]*Table242325678910[TERJUAL])</f>
        <v>0</v>
      </c>
      <c r="K79" s="157"/>
      <c r="L79" s="158"/>
      <c r="M79" s="158"/>
      <c r="N79" s="179"/>
    </row>
    <row r="80" spans="1:14" s="180" customFormat="1" x14ac:dyDescent="0.25">
      <c r="A80" s="137">
        <v>76</v>
      </c>
      <c r="B80" s="153" t="s">
        <v>68</v>
      </c>
      <c r="C80" s="153" t="s">
        <v>69</v>
      </c>
      <c r="D80" s="159">
        <v>6300</v>
      </c>
      <c r="E80" s="154">
        <v>10000</v>
      </c>
      <c r="F80" s="155"/>
      <c r="G80" s="156">
        <v>493</v>
      </c>
      <c r="H80" s="155">
        <f>(Table242325678910[STOK])-(Table242325678910[TERJUAL])</f>
        <v>-493</v>
      </c>
      <c r="I80" s="157">
        <f>(Table242325678910[HARGA JUAL]*Table242325678910[TERJUAL])-(Table242325678910[HARGA POKOK]*Table242325678910[TERJUAL])</f>
        <v>1824100</v>
      </c>
      <c r="J80" s="157">
        <f>(Table242325678910[HARGA JUAL]*Table242325678910[TERJUAL])</f>
        <v>4930000</v>
      </c>
      <c r="K80" s="157"/>
      <c r="L80" s="158"/>
      <c r="M80" s="158"/>
      <c r="N80" s="179"/>
    </row>
    <row r="81" spans="1:14" s="180" customFormat="1" x14ac:dyDescent="0.25">
      <c r="A81" s="137">
        <v>77</v>
      </c>
      <c r="B81" s="153" t="s">
        <v>173</v>
      </c>
      <c r="C81" s="153" t="s">
        <v>174</v>
      </c>
      <c r="D81" s="159">
        <v>9040</v>
      </c>
      <c r="E81" s="154">
        <v>12000</v>
      </c>
      <c r="F81" s="155"/>
      <c r="G81" s="156">
        <v>45</v>
      </c>
      <c r="H81" s="155">
        <f>(Table242325678910[STOK])-(Table242325678910[TERJUAL])</f>
        <v>-45</v>
      </c>
      <c r="I81" s="157">
        <f>(Table242325678910[HARGA JUAL]*Table242325678910[TERJUAL])-(Table242325678910[HARGA POKOK]*Table242325678910[TERJUAL])</f>
        <v>133200</v>
      </c>
      <c r="J81" s="157">
        <f>(Table242325678910[HARGA JUAL]*Table242325678910[TERJUAL])</f>
        <v>540000</v>
      </c>
      <c r="K81" s="157"/>
      <c r="L81" s="158"/>
      <c r="M81" s="158"/>
      <c r="N81" s="179"/>
    </row>
    <row r="82" spans="1:14" s="180" customFormat="1" x14ac:dyDescent="0.25">
      <c r="A82" s="137">
        <v>78</v>
      </c>
      <c r="B82" s="153" t="s">
        <v>146</v>
      </c>
      <c r="C82" s="153" t="s">
        <v>152</v>
      </c>
      <c r="D82" s="159">
        <v>6200</v>
      </c>
      <c r="E82" s="154">
        <v>10000</v>
      </c>
      <c r="F82" s="155"/>
      <c r="G82" s="160" t="s">
        <v>243</v>
      </c>
      <c r="H82" s="155">
        <f>(Table242325678910[STOK])-(Table242325678910[TERJUAL])</f>
        <v>-53</v>
      </c>
      <c r="I82" s="157">
        <f>(Table242325678910[HARGA JUAL]*Table242325678910[TERJUAL])-(Table242325678910[HARGA POKOK]*Table242325678910[TERJUAL])</f>
        <v>201400</v>
      </c>
      <c r="J82" s="157">
        <f>(Table242325678910[HARGA JUAL]*Table242325678910[TERJUAL])</f>
        <v>530000</v>
      </c>
      <c r="K82" s="157"/>
      <c r="L82" s="158"/>
      <c r="M82" s="158"/>
      <c r="N82" s="179"/>
    </row>
    <row r="83" spans="1:14" s="180" customFormat="1" x14ac:dyDescent="0.25">
      <c r="A83" s="137">
        <v>79</v>
      </c>
      <c r="B83" s="153" t="s">
        <v>147</v>
      </c>
      <c r="C83" s="153" t="s">
        <v>153</v>
      </c>
      <c r="D83" s="159">
        <v>5600</v>
      </c>
      <c r="E83" s="154">
        <v>10000</v>
      </c>
      <c r="F83" s="155"/>
      <c r="G83" s="160"/>
      <c r="H83" s="155">
        <f>(Table242325678910[STOK])-(Table242325678910[TERJUAL])</f>
        <v>0</v>
      </c>
      <c r="I83" s="157">
        <f>(Table242325678910[HARGA JUAL]*Table242325678910[TERJUAL])-(Table242325678910[HARGA POKOK]*Table242325678910[TERJUAL])</f>
        <v>0</v>
      </c>
      <c r="J83" s="157">
        <f>(Table242325678910[HARGA JUAL]*Table242325678910[TERJUAL])</f>
        <v>0</v>
      </c>
      <c r="K83" s="157"/>
      <c r="L83" s="158"/>
      <c r="M83" s="158"/>
      <c r="N83" s="179"/>
    </row>
    <row r="84" spans="1:14" s="180" customFormat="1" x14ac:dyDescent="0.25">
      <c r="A84" s="137">
        <v>80</v>
      </c>
      <c r="B84" s="167" t="s">
        <v>204</v>
      </c>
      <c r="C84" s="167" t="s">
        <v>205</v>
      </c>
      <c r="D84" s="168">
        <v>13000</v>
      </c>
      <c r="E84" s="169">
        <v>15000</v>
      </c>
      <c r="F84" s="170"/>
      <c r="G84" s="171"/>
      <c r="H84" s="172">
        <f>(Table242325678910[STOK])-(Table242325678910[TERJUAL])</f>
        <v>0</v>
      </c>
      <c r="I84" s="173">
        <f>(Table242325678910[HARGA JUAL]*Table242325678910[TERJUAL])-(Table242325678910[HARGA POKOK]*Table242325678910[TERJUAL])</f>
        <v>0</v>
      </c>
      <c r="J84" s="173">
        <f>(Table242325678910[HARGA JUAL]*Table242325678910[TERJUAL])</f>
        <v>0</v>
      </c>
      <c r="K84" s="173"/>
      <c r="L84" s="174"/>
      <c r="M84" s="174"/>
      <c r="N84" s="181"/>
    </row>
    <row r="85" spans="1:14" ht="18.75" x14ac:dyDescent="0.25">
      <c r="A85" s="404" t="s">
        <v>8</v>
      </c>
      <c r="B85" s="404"/>
      <c r="C85" s="404"/>
      <c r="D85" s="404"/>
      <c r="E85" s="404"/>
      <c r="F85" s="39"/>
      <c r="G85" s="39"/>
      <c r="H85" s="40"/>
      <c r="I85" s="175">
        <f>SUM(I5:I84)</f>
        <v>7365200</v>
      </c>
      <c r="J85" s="176">
        <f>SUM(J5:J84)</f>
        <v>33216000</v>
      </c>
      <c r="K85" s="41">
        <f>SUBTOTAL(109,Table242325678910[TOTAL HARGA SISA BARANG])</f>
        <v>274710000</v>
      </c>
      <c r="L85" s="177">
        <f>SUM(L5:L84)</f>
        <v>219876700</v>
      </c>
      <c r="M85" s="42">
        <f>SUM(M5:M67)</f>
        <v>296143000</v>
      </c>
      <c r="N85" s="145"/>
    </row>
    <row r="86" spans="1:14" x14ac:dyDescent="0.25">
      <c r="B86" s="1"/>
      <c r="C86" s="3"/>
      <c r="G86" s="1"/>
      <c r="H86" s="11"/>
      <c r="I86" s="6"/>
      <c r="J86" s="6"/>
      <c r="K86" s="6"/>
      <c r="L86" s="1"/>
      <c r="M86" s="1"/>
    </row>
    <row r="87" spans="1:14" x14ac:dyDescent="0.25">
      <c r="A87" s="28"/>
      <c r="B87" s="28"/>
      <c r="C87" s="28"/>
      <c r="E87" s="386" t="s">
        <v>219</v>
      </c>
      <c r="F87" s="386"/>
      <c r="G87" s="386"/>
      <c r="H87" s="386"/>
      <c r="I87" s="386"/>
      <c r="J87" s="386"/>
      <c r="K87" s="212"/>
      <c r="L87" s="1"/>
      <c r="M87" s="1"/>
    </row>
    <row r="88" spans="1:14" x14ac:dyDescent="0.25">
      <c r="A88" s="162" t="s">
        <v>239</v>
      </c>
      <c r="B88" s="162"/>
      <c r="C88" s="162"/>
      <c r="D88" s="163"/>
      <c r="E88" s="161"/>
      <c r="F88" s="161"/>
      <c r="G88" s="387"/>
      <c r="H88" s="387"/>
      <c r="I88" s="28"/>
      <c r="J88" s="28"/>
      <c r="K88" s="28"/>
      <c r="L88" s="7"/>
    </row>
    <row r="89" spans="1:14" x14ac:dyDescent="0.25">
      <c r="A89" s="162" t="s">
        <v>240</v>
      </c>
      <c r="B89" s="162"/>
      <c r="C89" s="162"/>
      <c r="D89" s="163"/>
      <c r="E89" s="161"/>
      <c r="F89" s="161"/>
      <c r="G89" s="94"/>
      <c r="H89" s="94"/>
      <c r="I89" s="28"/>
      <c r="J89" s="28"/>
      <c r="K89" s="28"/>
      <c r="L89" s="28"/>
    </row>
    <row r="90" spans="1:14" x14ac:dyDescent="0.25">
      <c r="A90" s="165" t="s">
        <v>251</v>
      </c>
      <c r="B90" s="28"/>
      <c r="C90" s="28"/>
      <c r="E90" s="43" t="s">
        <v>82</v>
      </c>
      <c r="F90" s="44"/>
      <c r="G90" s="390">
        <f>SUBTOTAL(109,Table242325678910[TOTAL H. B. LAKU TERJUAL])</f>
        <v>33216000</v>
      </c>
      <c r="H90" s="390"/>
      <c r="I90" s="390"/>
      <c r="J90" s="43"/>
      <c r="K90" s="7"/>
      <c r="L90" s="27"/>
      <c r="M90" s="1"/>
    </row>
    <row r="91" spans="1:14" x14ac:dyDescent="0.25">
      <c r="A91" s="165" t="s">
        <v>241</v>
      </c>
      <c r="B91" s="28"/>
      <c r="C91" s="28"/>
      <c r="E91" s="43"/>
      <c r="F91" s="44"/>
      <c r="G91" s="213"/>
      <c r="H91" s="213"/>
      <c r="I91" s="213"/>
      <c r="J91" s="43"/>
      <c r="K91" s="7"/>
      <c r="L91" s="27"/>
      <c r="M91" s="1"/>
    </row>
    <row r="92" spans="1:14" x14ac:dyDescent="0.25">
      <c r="A92" s="165" t="s">
        <v>198</v>
      </c>
      <c r="B92" s="28"/>
      <c r="C92" s="28"/>
      <c r="E92" s="43" t="s">
        <v>83</v>
      </c>
      <c r="F92" s="45" t="s">
        <v>84</v>
      </c>
      <c r="G92" s="391">
        <v>280000</v>
      </c>
      <c r="H92" s="391"/>
      <c r="I92" s="391"/>
      <c r="J92" s="43"/>
      <c r="K92" s="7"/>
      <c r="L92" s="27"/>
      <c r="M92" s="1"/>
    </row>
    <row r="93" spans="1:14" x14ac:dyDescent="0.25">
      <c r="A93" s="165" t="s">
        <v>199</v>
      </c>
      <c r="B93" s="1"/>
      <c r="C93" s="3"/>
      <c r="E93" s="43" t="s">
        <v>8</v>
      </c>
      <c r="F93" s="43"/>
      <c r="G93" s="392">
        <f>(G90-G92)</f>
        <v>32936000</v>
      </c>
      <c r="H93" s="392"/>
      <c r="I93" s="392"/>
      <c r="J93" s="43"/>
      <c r="K93" s="7"/>
      <c r="L93" s="27"/>
      <c r="M93" s="1"/>
    </row>
    <row r="94" spans="1:14" x14ac:dyDescent="0.25">
      <c r="A94" s="165" t="s">
        <v>200</v>
      </c>
      <c r="M94" s="1"/>
    </row>
    <row r="95" spans="1:14" x14ac:dyDescent="0.25">
      <c r="A95" s="165"/>
      <c r="M95" s="1"/>
    </row>
    <row r="96" spans="1:14" ht="18.75" x14ac:dyDescent="0.3">
      <c r="A96" s="360" t="s">
        <v>99</v>
      </c>
      <c r="B96" s="360"/>
      <c r="C96" s="360"/>
      <c r="D96" s="360"/>
    </row>
    <row r="97" spans="1:12" ht="18.75" x14ac:dyDescent="0.3">
      <c r="A97" s="360" t="s">
        <v>237</v>
      </c>
      <c r="B97" s="360"/>
      <c r="C97" s="360"/>
      <c r="D97" s="360"/>
    </row>
    <row r="98" spans="1:12" ht="18.75" x14ac:dyDescent="0.3">
      <c r="A98" s="360" t="s">
        <v>75</v>
      </c>
      <c r="B98" s="360"/>
      <c r="C98" s="360"/>
      <c r="D98" s="360"/>
    </row>
    <row r="99" spans="1:12" x14ac:dyDescent="0.25">
      <c r="E99" s="405"/>
      <c r="F99" s="405"/>
      <c r="G99" s="405"/>
      <c r="H99" s="405"/>
      <c r="I99" s="405"/>
    </row>
    <row r="100" spans="1:12" ht="15.75" x14ac:dyDescent="0.25">
      <c r="A100" s="356" t="s">
        <v>111</v>
      </c>
      <c r="B100" s="357"/>
      <c r="C100" s="356" t="s">
        <v>77</v>
      </c>
      <c r="D100" s="357"/>
      <c r="E100" s="7"/>
      <c r="F100" s="27"/>
      <c r="G100" s="7"/>
      <c r="H100" s="7"/>
      <c r="I100" s="191"/>
    </row>
    <row r="101" spans="1:12" ht="15.75" x14ac:dyDescent="0.25">
      <c r="A101" s="210" t="s">
        <v>103</v>
      </c>
      <c r="B101" s="211"/>
      <c r="C101" s="46"/>
      <c r="D101" s="203">
        <v>32856000</v>
      </c>
      <c r="E101" s="218"/>
      <c r="F101" s="220"/>
      <c r="G101" s="220"/>
      <c r="H101" s="221"/>
      <c r="I101" s="222"/>
    </row>
    <row r="102" spans="1:12" ht="15.75" x14ac:dyDescent="0.25">
      <c r="A102" s="354" t="s">
        <v>102</v>
      </c>
      <c r="B102" s="355"/>
      <c r="C102" s="46"/>
      <c r="D102" s="204"/>
      <c r="E102" s="219"/>
      <c r="F102" s="220"/>
      <c r="G102" s="220"/>
      <c r="H102" s="221"/>
      <c r="I102" s="222"/>
    </row>
    <row r="103" spans="1:12" ht="15.75" x14ac:dyDescent="0.25">
      <c r="A103" s="356" t="s">
        <v>104</v>
      </c>
      <c r="B103" s="357"/>
      <c r="C103" s="46"/>
      <c r="D103" s="203">
        <v>32856000</v>
      </c>
      <c r="E103" s="219"/>
      <c r="F103" s="220"/>
      <c r="G103" s="220"/>
      <c r="H103" s="221"/>
      <c r="I103" s="222"/>
    </row>
    <row r="104" spans="1:12" ht="15.75" x14ac:dyDescent="0.25">
      <c r="A104" s="350" t="s">
        <v>106</v>
      </c>
      <c r="B104" s="351"/>
      <c r="C104" s="46"/>
      <c r="D104" s="204">
        <v>25515800</v>
      </c>
      <c r="E104" s="219"/>
      <c r="F104" s="220"/>
      <c r="G104" s="220"/>
      <c r="H104" s="221"/>
      <c r="I104" s="222"/>
    </row>
    <row r="105" spans="1:12" ht="15.75" x14ac:dyDescent="0.25">
      <c r="A105" s="358" t="s">
        <v>161</v>
      </c>
      <c r="B105" s="359"/>
      <c r="C105" s="49"/>
      <c r="D105" s="205">
        <f>(D103-D104)</f>
        <v>7340200</v>
      </c>
      <c r="E105" s="218"/>
      <c r="F105" s="223"/>
      <c r="G105" s="223"/>
      <c r="H105" s="224"/>
      <c r="I105" s="224"/>
    </row>
    <row r="106" spans="1:12" ht="15.75" x14ac:dyDescent="0.25">
      <c r="A106" s="358" t="s">
        <v>158</v>
      </c>
      <c r="B106" s="359"/>
      <c r="C106" s="49"/>
      <c r="D106" s="206">
        <v>47500</v>
      </c>
      <c r="F106" s="223"/>
    </row>
    <row r="107" spans="1:12" ht="15.75" x14ac:dyDescent="0.25">
      <c r="A107" s="400" t="s">
        <v>162</v>
      </c>
      <c r="B107" s="401"/>
      <c r="C107" s="49"/>
      <c r="D107" s="205">
        <f>SUM(D105:D106)</f>
        <v>7387700</v>
      </c>
      <c r="F107" s="7"/>
      <c r="G107" s="7"/>
      <c r="I107" s="186"/>
      <c r="L107" s="183"/>
    </row>
    <row r="108" spans="1:12" ht="15.75" x14ac:dyDescent="0.25">
      <c r="A108" s="346" t="s">
        <v>105</v>
      </c>
      <c r="B108" s="347"/>
      <c r="C108" s="46"/>
      <c r="D108" s="207"/>
      <c r="I108" s="186"/>
      <c r="L108" s="183"/>
    </row>
    <row r="109" spans="1:12" ht="15.75" x14ac:dyDescent="0.25">
      <c r="A109" s="348" t="s">
        <v>97</v>
      </c>
      <c r="B109" s="349"/>
      <c r="C109" s="46">
        <v>2000000</v>
      </c>
      <c r="D109" s="204"/>
      <c r="I109" s="187"/>
      <c r="L109" s="183"/>
    </row>
    <row r="110" spans="1:12" ht="15.75" x14ac:dyDescent="0.25">
      <c r="A110" s="350" t="s">
        <v>98</v>
      </c>
      <c r="B110" s="351"/>
      <c r="C110" s="46">
        <v>416000</v>
      </c>
      <c r="D110" s="204"/>
      <c r="L110" s="183"/>
    </row>
    <row r="111" spans="1:12" ht="15.75" x14ac:dyDescent="0.25">
      <c r="A111" s="113" t="s">
        <v>235</v>
      </c>
      <c r="B111" s="113"/>
      <c r="C111" s="114">
        <v>1030000</v>
      </c>
      <c r="D111" s="208"/>
    </row>
    <row r="112" spans="1:12" ht="15.75" x14ac:dyDescent="0.25">
      <c r="A112" s="113" t="s">
        <v>244</v>
      </c>
      <c r="B112" s="113"/>
      <c r="C112" s="114">
        <v>193000</v>
      </c>
      <c r="D112" s="208"/>
    </row>
    <row r="113" spans="1:4" ht="15.75" x14ac:dyDescent="0.25">
      <c r="A113" s="352" t="s">
        <v>107</v>
      </c>
      <c r="B113" s="353"/>
      <c r="C113" s="51" t="s">
        <v>117</v>
      </c>
      <c r="D113" s="209">
        <f>SUM(C109:C112)</f>
        <v>3639000</v>
      </c>
    </row>
    <row r="114" spans="1:4" ht="15.75" x14ac:dyDescent="0.25">
      <c r="A114" s="344" t="s">
        <v>108</v>
      </c>
      <c r="B114" s="345"/>
      <c r="C114" s="51"/>
      <c r="D114" s="204"/>
    </row>
    <row r="115" spans="1:4" ht="15.75" x14ac:dyDescent="0.25">
      <c r="A115" s="346" t="s">
        <v>109</v>
      </c>
      <c r="B115" s="347"/>
      <c r="C115" s="48"/>
      <c r="D115" s="205">
        <f>(D107-D113)</f>
        <v>3748700</v>
      </c>
    </row>
    <row r="118" spans="1:4" x14ac:dyDescent="0.25">
      <c r="A118" s="228" t="s">
        <v>0</v>
      </c>
      <c r="B118" s="228" t="s">
        <v>248</v>
      </c>
      <c r="C118" s="228" t="s">
        <v>77</v>
      </c>
    </row>
    <row r="119" spans="1:4" x14ac:dyDescent="0.25">
      <c r="A119" s="228">
        <v>1</v>
      </c>
      <c r="B119" s="225" t="s">
        <v>221</v>
      </c>
      <c r="C119" s="226">
        <v>118082500</v>
      </c>
    </row>
    <row r="120" spans="1:4" x14ac:dyDescent="0.25">
      <c r="A120" s="228">
        <v>2</v>
      </c>
      <c r="B120" s="225" t="s">
        <v>245</v>
      </c>
      <c r="C120" s="226">
        <v>9850000</v>
      </c>
    </row>
    <row r="121" spans="1:4" x14ac:dyDescent="0.25">
      <c r="A121" s="228">
        <v>3</v>
      </c>
      <c r="B121" s="225" t="s">
        <v>246</v>
      </c>
      <c r="C121" s="226">
        <v>1220000</v>
      </c>
    </row>
    <row r="122" spans="1:4" x14ac:dyDescent="0.25">
      <c r="A122" s="228">
        <v>4</v>
      </c>
      <c r="B122" s="225" t="s">
        <v>247</v>
      </c>
      <c r="C122" s="226">
        <v>300000</v>
      </c>
    </row>
    <row r="123" spans="1:4" x14ac:dyDescent="0.25">
      <c r="A123" s="228">
        <v>5</v>
      </c>
      <c r="B123" s="225" t="s">
        <v>249</v>
      </c>
      <c r="C123" s="226">
        <v>3456000</v>
      </c>
    </row>
    <row r="124" spans="1:4" x14ac:dyDescent="0.25">
      <c r="A124" s="228">
        <v>6</v>
      </c>
      <c r="B124" s="227" t="s">
        <v>8</v>
      </c>
      <c r="C124" s="226">
        <f>SUM(C119:C123)</f>
        <v>132908500</v>
      </c>
    </row>
  </sheetData>
  <mergeCells count="26">
    <mergeCell ref="G90:I90"/>
    <mergeCell ref="A1:N1"/>
    <mergeCell ref="A2:N2"/>
    <mergeCell ref="A85:E85"/>
    <mergeCell ref="E87:J87"/>
    <mergeCell ref="G88:H88"/>
    <mergeCell ref="A105:B105"/>
    <mergeCell ref="G92:I92"/>
    <mergeCell ref="G93:I93"/>
    <mergeCell ref="A96:D96"/>
    <mergeCell ref="A97:D97"/>
    <mergeCell ref="A98:D98"/>
    <mergeCell ref="E99:I99"/>
    <mergeCell ref="A100:B100"/>
    <mergeCell ref="C100:D100"/>
    <mergeCell ref="A102:B102"/>
    <mergeCell ref="A103:B103"/>
    <mergeCell ref="A104:B104"/>
    <mergeCell ref="A114:B114"/>
    <mergeCell ref="A115:B115"/>
    <mergeCell ref="A106:B106"/>
    <mergeCell ref="A107:B107"/>
    <mergeCell ref="A108:B108"/>
    <mergeCell ref="A109:B109"/>
    <mergeCell ref="A110:B110"/>
    <mergeCell ref="A113:B113"/>
  </mergeCells>
  <pageMargins left="0.51181102362204722" right="0.31496062992125984" top="0.55118110236220474" bottom="0.55118110236220474" header="0.31496062992125984" footer="0.31496062992125984"/>
  <pageSetup paperSize="256" scale="6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9</vt:i4>
      </vt:variant>
    </vt:vector>
  </HeadingPairs>
  <TitlesOfParts>
    <vt:vector size="33" baseType="lpstr">
      <vt:lpstr> KIOS TIDORE BULAN MARET</vt:lpstr>
      <vt:lpstr>KIOS APRIL</vt:lpstr>
      <vt:lpstr>KIOS MEI</vt:lpstr>
      <vt:lpstr>KIOS JUNI</vt:lpstr>
      <vt:lpstr>KIOS JULI</vt:lpstr>
      <vt:lpstr>KIOS AGUSTUS</vt:lpstr>
      <vt:lpstr>KIOS SEPTEMBER</vt:lpstr>
      <vt:lpstr>OKTOBER</vt:lpstr>
      <vt:lpstr>NOVEMBER</vt:lpstr>
      <vt:lpstr>DESEMBER</vt:lpstr>
      <vt:lpstr>JANUARI 21</vt:lpstr>
      <vt:lpstr>FEBRUARI</vt:lpstr>
      <vt:lpstr>MARET</vt:lpstr>
      <vt:lpstr>APRIL</vt:lpstr>
      <vt:lpstr>MEI</vt:lpstr>
      <vt:lpstr>FEBRUARI 2020</vt:lpstr>
      <vt:lpstr>JANUARI 2020</vt:lpstr>
      <vt:lpstr>JUNI 2021</vt:lpstr>
      <vt:lpstr>JULI 2021</vt:lpstr>
      <vt:lpstr>AGUSTUS</vt:lpstr>
      <vt:lpstr>SEPTEMBER 2021</vt:lpstr>
      <vt:lpstr>OKTOBER 2021</vt:lpstr>
      <vt:lpstr> NOVEMBER 2021</vt:lpstr>
      <vt:lpstr>Sheet1</vt:lpstr>
      <vt:lpstr>' NOVEMBER 2021'!Print_Area</vt:lpstr>
      <vt:lpstr>APRIL!Print_Area</vt:lpstr>
      <vt:lpstr>'JANUARI 2020'!Print_Area</vt:lpstr>
      <vt:lpstr>'JANUARI 21'!Print_Area</vt:lpstr>
      <vt:lpstr>'KIOS AGUSTUS'!Print_Area</vt:lpstr>
      <vt:lpstr>'KIOS SEPTEMBER'!Print_Area</vt:lpstr>
      <vt:lpstr>MARET!Print_Area</vt:lpstr>
      <vt:lpstr>NOVEMBER!Print_Area</vt:lpstr>
      <vt:lpstr>OKTOBER!Print_Area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SHUTTER COM</dc:creator>
  <cp:lastModifiedBy>TIDORE</cp:lastModifiedBy>
  <cp:lastPrinted>2021-12-02T21:51:57Z</cp:lastPrinted>
  <dcterms:created xsi:type="dcterms:W3CDTF">2020-03-26T13:06:48Z</dcterms:created>
  <dcterms:modified xsi:type="dcterms:W3CDTF">2022-01-31T13:20:16Z</dcterms:modified>
</cp:coreProperties>
</file>