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2.1.1|2.1.2" sheetId="1" r:id="rId1"/>
    <sheet name="2.1.3" sheetId="2" r:id="rId2"/>
    <sheet name="2.2" sheetId="3" r:id="rId3"/>
    <sheet name="2.3" sheetId="4" r:id="rId4"/>
  </sheets>
  <calcPr calcId="152511"/>
</workbook>
</file>

<file path=xl/calcChain.xml><?xml version="1.0" encoding="utf-8"?>
<calcChain xmlns="http://schemas.openxmlformats.org/spreadsheetml/2006/main">
  <c r="B18" i="4" l="1"/>
  <c r="B19" i="4"/>
  <c r="B17" i="4"/>
  <c r="D12" i="4"/>
  <c r="E3" i="4" s="1"/>
  <c r="F3" i="4" s="1"/>
  <c r="G3" i="4" s="1"/>
  <c r="B12" i="4"/>
  <c r="B22" i="3"/>
  <c r="B23" i="3"/>
  <c r="B21" i="3"/>
  <c r="I12" i="3"/>
  <c r="I3" i="3"/>
  <c r="I4" i="3"/>
  <c r="I5" i="3"/>
  <c r="I6" i="3"/>
  <c r="I7" i="3"/>
  <c r="I8" i="3"/>
  <c r="I9" i="3"/>
  <c r="I10" i="3"/>
  <c r="I11" i="3"/>
  <c r="I2" i="3"/>
  <c r="H12" i="3"/>
  <c r="H3" i="3"/>
  <c r="H4" i="3"/>
  <c r="H5" i="3"/>
  <c r="H6" i="3"/>
  <c r="H7" i="3"/>
  <c r="H8" i="3"/>
  <c r="H9" i="3"/>
  <c r="H10" i="3"/>
  <c r="H11" i="3"/>
  <c r="H2" i="3"/>
  <c r="G1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E3" i="3"/>
  <c r="E4" i="3"/>
  <c r="E5" i="3"/>
  <c r="E6" i="3"/>
  <c r="E7" i="3"/>
  <c r="E8" i="3"/>
  <c r="E9" i="3"/>
  <c r="E10" i="3"/>
  <c r="E11" i="3"/>
  <c r="F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E10" i="4" l="1"/>
  <c r="F10" i="4" s="1"/>
  <c r="G10" i="4" s="1"/>
  <c r="E6" i="4"/>
  <c r="F6" i="4" s="1"/>
  <c r="G6" i="4" s="1"/>
  <c r="E5" i="4"/>
  <c r="F5" i="4" s="1"/>
  <c r="G5" i="4" s="1"/>
  <c r="E2" i="4"/>
  <c r="E8" i="4"/>
  <c r="F8" i="4" s="1"/>
  <c r="G8" i="4" s="1"/>
  <c r="E4" i="4"/>
  <c r="F4" i="4" s="1"/>
  <c r="G4" i="4" s="1"/>
  <c r="E9" i="4"/>
  <c r="F9" i="4" s="1"/>
  <c r="G9" i="4" s="1"/>
  <c r="E11" i="4"/>
  <c r="F11" i="4" s="1"/>
  <c r="G11" i="4" s="1"/>
  <c r="E7" i="4"/>
  <c r="F7" i="4" s="1"/>
  <c r="G7" i="4" s="1"/>
  <c r="F36" i="1"/>
  <c r="B12" i="2"/>
  <c r="G30" i="2" s="1"/>
  <c r="F11" i="2"/>
  <c r="F10" i="2"/>
  <c r="F9" i="2"/>
  <c r="F8" i="2"/>
  <c r="F7" i="2"/>
  <c r="F6" i="2"/>
  <c r="F5" i="2"/>
  <c r="F4" i="2"/>
  <c r="F3" i="2"/>
  <c r="F2" i="2"/>
  <c r="F2" i="4" l="1"/>
  <c r="E12" i="4"/>
  <c r="F12" i="2"/>
  <c r="D15" i="2" s="1"/>
  <c r="G9" i="2" s="1"/>
  <c r="G11" i="2"/>
  <c r="G5" i="2"/>
  <c r="G3" i="2"/>
  <c r="G6" i="2"/>
  <c r="G4" i="2"/>
  <c r="F36" i="2"/>
  <c r="F12" i="4" l="1"/>
  <c r="G2" i="4"/>
  <c r="G12" i="4" s="1"/>
  <c r="G8" i="2"/>
  <c r="H8" i="2" s="1"/>
  <c r="J8" i="2" s="1"/>
  <c r="G7" i="2"/>
  <c r="N7" i="2" s="1"/>
  <c r="G2" i="2"/>
  <c r="G10" i="2"/>
  <c r="L10" i="2" s="1"/>
  <c r="H4" i="2"/>
  <c r="J4" i="2" s="1"/>
  <c r="N4" i="2"/>
  <c r="L4" i="2"/>
  <c r="N3" i="2"/>
  <c r="L3" i="2"/>
  <c r="H3" i="2"/>
  <c r="J3" i="2" s="1"/>
  <c r="N11" i="2"/>
  <c r="L11" i="2"/>
  <c r="H11" i="2"/>
  <c r="J11" i="2" s="1"/>
  <c r="H6" i="2"/>
  <c r="J6" i="2" s="1"/>
  <c r="N6" i="2"/>
  <c r="L6" i="2"/>
  <c r="N5" i="2"/>
  <c r="L5" i="2"/>
  <c r="H5" i="2"/>
  <c r="J5" i="2" s="1"/>
  <c r="N8" i="2"/>
  <c r="L8" i="2"/>
  <c r="H2" i="2"/>
  <c r="J2" i="2" s="1"/>
  <c r="N2" i="2"/>
  <c r="L2" i="2"/>
  <c r="H10" i="2"/>
  <c r="J10" i="2" s="1"/>
  <c r="N10" i="2"/>
  <c r="N9" i="2"/>
  <c r="L9" i="2"/>
  <c r="H9" i="2"/>
  <c r="J9" i="2" s="1"/>
  <c r="H7" i="2" l="1"/>
  <c r="J7" i="2" s="1"/>
  <c r="L7" i="2"/>
  <c r="L12" i="2"/>
  <c r="E22" i="2" s="1"/>
  <c r="E28" i="2" s="1"/>
  <c r="G32" i="2" s="1"/>
  <c r="N12" i="2"/>
  <c r="E24" i="2" s="1"/>
  <c r="E34" i="2" s="1"/>
  <c r="G38" i="2" s="1"/>
  <c r="J12" i="2"/>
  <c r="E20" i="2" s="1"/>
  <c r="C28" i="1" l="1"/>
  <c r="D38" i="1" l="1"/>
  <c r="C23" i="1" l="1"/>
  <c r="D21" i="1"/>
  <c r="B12" i="1"/>
  <c r="F11" i="1"/>
  <c r="F10" i="1"/>
  <c r="F9" i="1"/>
  <c r="F8" i="1"/>
  <c r="F7" i="1"/>
  <c r="F6" i="1"/>
  <c r="F5" i="1"/>
  <c r="F4" i="1"/>
  <c r="G3" i="1"/>
  <c r="G4" i="1" s="1"/>
  <c r="G5" i="1" s="1"/>
  <c r="G6" i="1" s="1"/>
  <c r="G7" i="1" s="1"/>
  <c r="G8" i="1" s="1"/>
  <c r="G9" i="1" s="1"/>
  <c r="G10" i="1" s="1"/>
  <c r="G11" i="1" s="1"/>
  <c r="F3" i="1"/>
  <c r="F2" i="1"/>
  <c r="F12" i="1" l="1"/>
  <c r="D17" i="1" s="1"/>
  <c r="H2" i="1" s="1"/>
  <c r="H10" i="1" l="1"/>
  <c r="I10" i="1" s="1"/>
  <c r="H11" i="1"/>
  <c r="K11" i="1" s="1"/>
  <c r="M11" i="1" s="1"/>
  <c r="H4" i="1"/>
  <c r="I4" i="1" s="1"/>
  <c r="H5" i="1"/>
  <c r="K5" i="1" s="1"/>
  <c r="M5" i="1" s="1"/>
  <c r="H9" i="1"/>
  <c r="I9" i="1" s="1"/>
  <c r="H6" i="1"/>
  <c r="I6" i="1" s="1"/>
  <c r="H7" i="1"/>
  <c r="K7" i="1" s="1"/>
  <c r="M7" i="1" s="1"/>
  <c r="H3" i="1"/>
  <c r="K3" i="1" s="1"/>
  <c r="M3" i="1" s="1"/>
  <c r="H8" i="1"/>
  <c r="I8" i="1" s="1"/>
  <c r="I2" i="1"/>
  <c r="K2" i="1"/>
  <c r="M2" i="1" s="1"/>
  <c r="I7" i="1" l="1"/>
  <c r="K4" i="1"/>
  <c r="M4" i="1" s="1"/>
  <c r="K10" i="1"/>
  <c r="M10" i="1" s="1"/>
  <c r="K9" i="1"/>
  <c r="M9" i="1" s="1"/>
  <c r="I5" i="1"/>
  <c r="I3" i="1"/>
  <c r="K8" i="1"/>
  <c r="M8" i="1" s="1"/>
  <c r="I11" i="1"/>
  <c r="K6" i="1"/>
  <c r="M6" i="1" s="1"/>
  <c r="I12" i="1" l="1"/>
  <c r="F32" i="1" s="1"/>
  <c r="M12" i="1"/>
  <c r="D34" i="1" s="1"/>
</calcChain>
</file>

<file path=xl/sharedStrings.xml><?xml version="1.0" encoding="utf-8"?>
<sst xmlns="http://schemas.openxmlformats.org/spreadsheetml/2006/main" count="109" uniqueCount="82">
  <si>
    <t>Баллы x</t>
  </si>
  <si>
    <t>Количество, чел. fi</t>
  </si>
  <si>
    <t>Середина
интервала
Хi</t>
  </si>
  <si>
    <t>xi * fi</t>
  </si>
  <si>
    <t>xi - x ср</t>
  </si>
  <si>
    <t>(xi - x ср)^2</t>
  </si>
  <si>
    <t>(xi - x ср)^2 *fi</t>
  </si>
  <si>
    <t>(xi - x ср)^3 *fi</t>
  </si>
  <si>
    <t>(xi - x ср)^4 *fi</t>
  </si>
  <si>
    <t>0 - 10</t>
  </si>
  <si>
    <t>11 - 20</t>
  </si>
  <si>
    <t>21 - 30</t>
  </si>
  <si>
    <t>31 - 40</t>
  </si>
  <si>
    <t xml:space="preserve">41 - 50 </t>
  </si>
  <si>
    <t xml:space="preserve">51 - 60 </t>
  </si>
  <si>
    <t xml:space="preserve">61 - 70 </t>
  </si>
  <si>
    <t xml:space="preserve">71 - 80 </t>
  </si>
  <si>
    <t>81 - 90</t>
  </si>
  <si>
    <t>91 - 100</t>
  </si>
  <si>
    <t>Итого</t>
  </si>
  <si>
    <t>Средний балл:</t>
  </si>
  <si>
    <t>Среднее квадратическое отклонение (улитка):</t>
  </si>
  <si>
    <t>Центральные моменты</t>
  </si>
  <si>
    <t>2-го порядка:</t>
  </si>
  <si>
    <r>
      <t xml:space="preserve"> это </t>
    </r>
    <r>
      <rPr>
        <b/>
        <sz val="11"/>
        <color theme="1"/>
        <rFont val="Calibri"/>
        <family val="2"/>
        <charset val="204"/>
        <scheme val="minor"/>
      </rPr>
      <t>D</t>
    </r>
  </si>
  <si>
    <t>3-го порядка:</t>
  </si>
  <si>
    <t>4-го порядка:</t>
  </si>
  <si>
    <t>Показатели формы распределения</t>
  </si>
  <si>
    <r>
      <rPr>
        <u/>
        <sz val="11"/>
        <color theme="1"/>
        <rFont val="Calibri"/>
        <family val="2"/>
        <charset val="204"/>
        <scheme val="minor"/>
      </rPr>
      <t>Асимметрия:</t>
    </r>
    <r>
      <rPr>
        <sz val="11"/>
        <color theme="1"/>
        <rFont val="Calibri"/>
        <family val="2"/>
        <scheme val="minor"/>
      </rPr>
      <t xml:space="preserve"> </t>
    </r>
  </si>
  <si>
    <t>Меньше нуля - левосторонняя</t>
  </si>
  <si>
    <t>Ошибка асиммтерии:</t>
  </si>
  <si>
    <t>Значимость асимметрии:</t>
  </si>
  <si>
    <t>&lt; 3 - не существенна</t>
  </si>
  <si>
    <t>Эксцесс:</t>
  </si>
  <si>
    <t>&lt; 0 - распределение – плосковершинное</t>
  </si>
  <si>
    <t>Ошибка эксцесса:</t>
  </si>
  <si>
    <t>Значимость эксцесса:</t>
  </si>
  <si>
    <t>&gt; 3 - существенный (значимый), не случайный.</t>
  </si>
  <si>
    <t>Баллы(xi)</t>
  </si>
  <si>
    <t>Кол-во чел (fi)</t>
  </si>
  <si>
    <t xml:space="preserve">Середина интервала xi </t>
  </si>
  <si>
    <t>S</t>
  </si>
  <si>
    <t>|xi - x ср|*fi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</si>
  <si>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</si>
  <si>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</si>
  <si>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</si>
  <si>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</si>
  <si>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</si>
  <si>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</si>
  <si>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</si>
  <si>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</si>
  <si>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</si>
  <si>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</si>
  <si>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I. Показатели центра распределения</t>
  </si>
  <si>
    <t>а) Средний балл:</t>
  </si>
  <si>
    <t>б) Модальный балл:</t>
  </si>
  <si>
    <t>max fi:</t>
  </si>
  <si>
    <t>Mo:</t>
  </si>
  <si>
    <t>в) Медианное</t>
  </si>
  <si>
    <t>Me:</t>
  </si>
  <si>
    <t>II. Показатели вариации</t>
  </si>
  <si>
    <t>а) Среднее линейное отклонение:</t>
  </si>
  <si>
    <t>б) Дисперсия:</t>
  </si>
  <si>
    <t>в) Средне квадратическое отклонение:</t>
  </si>
  <si>
    <t>г) Коэф. Вариации:</t>
  </si>
  <si>
    <t xml:space="preserve"> [61;70]</t>
  </si>
  <si>
    <t>[61;70]</t>
  </si>
  <si>
    <t>Нормир. Границы</t>
  </si>
  <si>
    <t>Интервалы</t>
  </si>
  <si>
    <t>Функция распред.</t>
  </si>
  <si>
    <t>Вер-ти</t>
  </si>
  <si>
    <t>Теор.част</t>
  </si>
  <si>
    <t>Сум.Пирс</t>
  </si>
  <si>
    <t>Крит. знач X2</t>
  </si>
  <si>
    <t>Нул.гипот</t>
  </si>
  <si>
    <t>ОТВЕРГ</t>
  </si>
  <si>
    <t>Балл</t>
  </si>
  <si>
    <t>Эмп. Част.</t>
  </si>
  <si>
    <t>РФ</t>
  </si>
  <si>
    <t>вер-ти</t>
  </si>
  <si>
    <t>теор.част</t>
  </si>
  <si>
    <t>СуммПирс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</si>
</sst>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0" xfId="0" applyFont="1" applyBorder="1" applyAlignment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3" fillId="0" borderId="4" xfId="0" applyFont="1" applyBorder="1"/>
    <xf numFmtId="0" fontId="4" fillId="0" borderId="10" xfId="0" applyFont="1" applyBorder="1"/>
    <xf numFmtId="0" fontId="2" fillId="0" borderId="3" xfId="0" applyFont="1" applyBorder="1"/>
    <xf numFmtId="0" fontId="2" fillId="0" borderId="10" xfId="0" applyFont="1" applyBorder="1" applyAlignment="1">
      <alignment horizontal="left"/>
    </xf>
    <xf numFmtId="0" fontId="0" fillId="0" borderId="2" xfId="0" applyBorder="1"/>
    <xf numFmtId="0" fontId="0" fillId="0" borderId="12" xfId="0" applyBorder="1"/>
    <xf numFmtId="0" fontId="2" fillId="0" borderId="0" xfId="0" applyFont="1"/>
    <xf numFmtId="0" fontId="1" fillId="0" borderId="2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C12"/>
    </sheetView>
  </sheetViews>
  <sheetFormatPr defaultRowHeight="15" x14ac:dyDescent="0.25"/>
  <sheetData>
    <row r="1" spans="1:14" x14ac:dyDescent="0.25">
      <c r="A1" s="1" t="s">
        <v>38</v>
      </c>
      <c r="B1" s="42" t="s">
        <v>39</v>
      </c>
      <c r="C1" s="43"/>
      <c r="D1" s="44" t="s">
        <v>40</v>
      </c>
      <c r="E1" s="45"/>
      <c r="F1" s="1" t="s">
        <v>3</v>
      </c>
      <c r="G1" s="1" t="s">
        <v>41</v>
      </c>
      <c r="H1" s="2" t="s">
        <v>4</v>
      </c>
      <c r="I1" s="46" t="s">
        <v>42</v>
      </c>
      <c r="J1" s="47"/>
      <c r="K1" s="46" t="s">
        <v>5</v>
      </c>
      <c r="L1" s="47"/>
      <c r="M1" s="42" t="s">
        <v>6</v>
      </c>
      <c r="N1" s="43"/>
    </row>
    <row r="2" spans="1:14" x14ac:dyDescent="0.25">
      <c r="A2" s="3" t="s">
        <v>43</v>
      </c>
      <c r="B2" s="39">
        <v>0</v>
      </c>
      <c r="C2" s="40"/>
      <c r="D2" s="28">
        <v>5</v>
      </c>
      <c r="E2" s="41"/>
      <c r="F2" s="3">
        <f>D2*B2</f>
        <v>0</v>
      </c>
      <c r="G2" s="3">
        <v>0</v>
      </c>
      <c r="H2" s="3">
        <f>D2 - D$17</f>
        <v>-55.410361592221207</v>
      </c>
      <c r="I2" s="28">
        <f>ABS(H2)*B2</f>
        <v>0</v>
      </c>
      <c r="J2" s="41"/>
      <c r="K2" s="28">
        <f>H2^2</f>
        <v>3070.3081717807031</v>
      </c>
      <c r="L2" s="41"/>
      <c r="M2" s="28">
        <f>K2*B2</f>
        <v>0</v>
      </c>
      <c r="N2" s="41"/>
    </row>
    <row r="3" spans="1:14" x14ac:dyDescent="0.25">
      <c r="A3" s="6" t="s">
        <v>44</v>
      </c>
      <c r="B3" s="39">
        <v>0</v>
      </c>
      <c r="C3" s="40"/>
      <c r="D3" s="28">
        <v>15.5</v>
      </c>
      <c r="E3" s="41"/>
      <c r="F3" s="3">
        <f t="shared" ref="F3:F11" si="0">D3*B3</f>
        <v>0</v>
      </c>
      <c r="G3" s="3">
        <f>G2+B3</f>
        <v>0</v>
      </c>
      <c r="H3" s="3">
        <f t="shared" ref="H3:H11" si="1">D3 - D$17</f>
        <v>-44.910361592221207</v>
      </c>
      <c r="I3" s="28">
        <f t="shared" ref="I3:I11" si="2">ABS(H3)*B3</f>
        <v>0</v>
      </c>
      <c r="J3" s="41"/>
      <c r="K3" s="28">
        <f t="shared" ref="K3:K11" si="3">H3^2</f>
        <v>2016.9405783440577</v>
      </c>
      <c r="L3" s="41"/>
      <c r="M3" s="28">
        <f t="shared" ref="M3:M11" si="4">K3*B3</f>
        <v>0</v>
      </c>
      <c r="N3" s="41"/>
    </row>
    <row r="4" spans="1:14" x14ac:dyDescent="0.25">
      <c r="A4" s="3" t="s">
        <v>45</v>
      </c>
      <c r="B4" s="39">
        <v>32</v>
      </c>
      <c r="C4" s="40"/>
      <c r="D4" s="28">
        <v>25.5</v>
      </c>
      <c r="E4" s="41"/>
      <c r="F4" s="3">
        <f t="shared" si="0"/>
        <v>816</v>
      </c>
      <c r="G4" s="3">
        <f t="shared" ref="G4:G11" si="5">G3+B4</f>
        <v>32</v>
      </c>
      <c r="H4" s="3">
        <f t="shared" si="1"/>
        <v>-34.910361592221207</v>
      </c>
      <c r="I4" s="28">
        <f t="shared" si="2"/>
        <v>1117.1315709510786</v>
      </c>
      <c r="J4" s="41"/>
      <c r="K4" s="28">
        <f t="shared" si="3"/>
        <v>1218.7333464996336</v>
      </c>
      <c r="L4" s="41"/>
      <c r="M4" s="28">
        <f t="shared" si="4"/>
        <v>38999.467087988276</v>
      </c>
      <c r="N4" s="41"/>
    </row>
    <row r="5" spans="1:14" x14ac:dyDescent="0.25">
      <c r="A5" s="3" t="s">
        <v>46</v>
      </c>
      <c r="B5" s="39">
        <v>295</v>
      </c>
      <c r="C5" s="40"/>
      <c r="D5" s="28">
        <v>35.5</v>
      </c>
      <c r="E5" s="41"/>
      <c r="F5" s="3">
        <f t="shared" si="0"/>
        <v>10472.5</v>
      </c>
      <c r="G5" s="3">
        <f t="shared" si="5"/>
        <v>327</v>
      </c>
      <c r="H5" s="3">
        <f t="shared" si="1"/>
        <v>-24.910361592221207</v>
      </c>
      <c r="I5" s="28">
        <f t="shared" si="2"/>
        <v>7348.5566697052564</v>
      </c>
      <c r="J5" s="41"/>
      <c r="K5" s="28">
        <f t="shared" si="3"/>
        <v>620.52611465520943</v>
      </c>
      <c r="L5" s="41"/>
      <c r="M5" s="28">
        <f t="shared" si="4"/>
        <v>183055.20382328678</v>
      </c>
      <c r="N5" s="41"/>
    </row>
    <row r="6" spans="1:14" x14ac:dyDescent="0.25">
      <c r="A6" s="3" t="s">
        <v>47</v>
      </c>
      <c r="B6" s="39">
        <v>1026</v>
      </c>
      <c r="C6" s="40"/>
      <c r="D6" s="28">
        <v>45.5</v>
      </c>
      <c r="E6" s="41"/>
      <c r="F6" s="3">
        <f t="shared" si="0"/>
        <v>46683</v>
      </c>
      <c r="G6" s="3">
        <f t="shared" si="5"/>
        <v>1353</v>
      </c>
      <c r="H6" s="3">
        <f t="shared" si="1"/>
        <v>-14.910361592221207</v>
      </c>
      <c r="I6" s="28">
        <f t="shared" si="2"/>
        <v>15298.030993618959</v>
      </c>
      <c r="J6" s="41"/>
      <c r="K6" s="28">
        <f t="shared" si="3"/>
        <v>222.31888281078534</v>
      </c>
      <c r="L6" s="41"/>
      <c r="M6" s="28">
        <f t="shared" si="4"/>
        <v>228099.17376386575</v>
      </c>
      <c r="N6" s="41"/>
    </row>
    <row r="7" spans="1:14" x14ac:dyDescent="0.25">
      <c r="A7" s="3" t="s">
        <v>48</v>
      </c>
      <c r="B7" s="39">
        <v>1857</v>
      </c>
      <c r="C7" s="40"/>
      <c r="D7" s="28">
        <v>55.5</v>
      </c>
      <c r="E7" s="41"/>
      <c r="F7" s="3">
        <f t="shared" si="0"/>
        <v>103063.5</v>
      </c>
      <c r="G7" s="3">
        <f t="shared" si="5"/>
        <v>3210</v>
      </c>
      <c r="H7" s="3">
        <f t="shared" si="1"/>
        <v>-4.9103615922212072</v>
      </c>
      <c r="I7" s="28">
        <f t="shared" si="2"/>
        <v>9118.5414767547809</v>
      </c>
      <c r="J7" s="41"/>
      <c r="K7" s="28">
        <f t="shared" si="3"/>
        <v>24.111650966361189</v>
      </c>
      <c r="L7" s="41"/>
      <c r="M7" s="28">
        <f t="shared" si="4"/>
        <v>44775.335844532732</v>
      </c>
      <c r="N7" s="41"/>
    </row>
    <row r="8" spans="1:14" x14ac:dyDescent="0.25">
      <c r="A8" s="3" t="s">
        <v>49</v>
      </c>
      <c r="B8" s="39">
        <v>2113</v>
      </c>
      <c r="C8" s="40"/>
      <c r="D8" s="28">
        <v>65.5</v>
      </c>
      <c r="E8" s="41"/>
      <c r="F8" s="3">
        <f t="shared" si="0"/>
        <v>138401.5</v>
      </c>
      <c r="G8" s="3">
        <f t="shared" si="5"/>
        <v>5323</v>
      </c>
      <c r="H8" s="3">
        <f t="shared" si="1"/>
        <v>5.0896384077787928</v>
      </c>
      <c r="I8" s="28">
        <f t="shared" si="2"/>
        <v>10754.40595563659</v>
      </c>
      <c r="J8" s="41"/>
      <c r="K8" s="28">
        <f t="shared" si="3"/>
        <v>25.904419121937046</v>
      </c>
      <c r="L8" s="41"/>
      <c r="M8" s="28">
        <f t="shared" si="4"/>
        <v>54736.037604652978</v>
      </c>
      <c r="N8" s="41"/>
    </row>
    <row r="9" spans="1:14" x14ac:dyDescent="0.25">
      <c r="A9" s="3" t="s">
        <v>50</v>
      </c>
      <c r="B9" s="39">
        <v>985</v>
      </c>
      <c r="C9" s="40"/>
      <c r="D9" s="28">
        <v>75.5</v>
      </c>
      <c r="E9" s="41"/>
      <c r="F9" s="3">
        <f t="shared" si="0"/>
        <v>74367.5</v>
      </c>
      <c r="G9" s="3">
        <f t="shared" si="5"/>
        <v>6308</v>
      </c>
      <c r="H9" s="3">
        <f t="shared" si="1"/>
        <v>15.089638407778793</v>
      </c>
      <c r="I9" s="28">
        <f t="shared" si="2"/>
        <v>14863.293831662111</v>
      </c>
      <c r="J9" s="41"/>
      <c r="K9" s="28">
        <f t="shared" si="3"/>
        <v>227.69718727751291</v>
      </c>
      <c r="L9" s="41"/>
      <c r="M9" s="28">
        <f t="shared" si="4"/>
        <v>224281.72946835021</v>
      </c>
      <c r="N9" s="41"/>
    </row>
    <row r="10" spans="1:14" x14ac:dyDescent="0.25">
      <c r="A10" s="3" t="s">
        <v>51</v>
      </c>
      <c r="B10" s="39">
        <v>235</v>
      </c>
      <c r="C10" s="40"/>
      <c r="D10" s="28">
        <v>85.5</v>
      </c>
      <c r="E10" s="41"/>
      <c r="F10" s="3">
        <f t="shared" si="0"/>
        <v>20092.5</v>
      </c>
      <c r="G10" s="3">
        <f t="shared" si="5"/>
        <v>6543</v>
      </c>
      <c r="H10" s="3">
        <f t="shared" si="1"/>
        <v>25.089638407778793</v>
      </c>
      <c r="I10" s="28">
        <f t="shared" si="2"/>
        <v>5896.0650258280166</v>
      </c>
      <c r="J10" s="41"/>
      <c r="K10" s="28">
        <f t="shared" si="3"/>
        <v>629.48995543308877</v>
      </c>
      <c r="L10" s="41"/>
      <c r="M10" s="28">
        <f t="shared" si="4"/>
        <v>147930.13952677586</v>
      </c>
      <c r="N10" s="41"/>
    </row>
    <row r="11" spans="1:14" x14ac:dyDescent="0.25">
      <c r="A11" s="3" t="s">
        <v>52</v>
      </c>
      <c r="B11" s="39">
        <v>39</v>
      </c>
      <c r="C11" s="40"/>
      <c r="D11" s="28">
        <v>95.5</v>
      </c>
      <c r="E11" s="41"/>
      <c r="F11" s="3">
        <f t="shared" si="0"/>
        <v>3724.5</v>
      </c>
      <c r="G11" s="3">
        <f t="shared" si="5"/>
        <v>6582</v>
      </c>
      <c r="H11" s="3">
        <f t="shared" si="1"/>
        <v>35.089638407778793</v>
      </c>
      <c r="I11" s="28">
        <f t="shared" si="2"/>
        <v>1368.4958979033729</v>
      </c>
      <c r="J11" s="41"/>
      <c r="K11" s="28">
        <f t="shared" si="3"/>
        <v>1231.2827235886646</v>
      </c>
      <c r="L11" s="41"/>
      <c r="M11" s="28">
        <f t="shared" si="4"/>
        <v>48020.026219957916</v>
      </c>
      <c r="N11" s="41"/>
    </row>
    <row r="12" spans="1:14" x14ac:dyDescent="0.25">
      <c r="A12" s="7" t="s">
        <v>19</v>
      </c>
      <c r="B12" s="37">
        <f>SUM(B2:C11)</f>
        <v>6582</v>
      </c>
      <c r="C12" s="38"/>
      <c r="D12" s="37"/>
      <c r="E12" s="38"/>
      <c r="F12" s="7">
        <f>SUM(F2:F11)</f>
        <v>397621</v>
      </c>
      <c r="G12" s="7"/>
      <c r="H12" s="7"/>
      <c r="I12" s="37">
        <f>SUM(I2:J11)</f>
        <v>65764.521422060163</v>
      </c>
      <c r="J12" s="38"/>
      <c r="K12" s="37"/>
      <c r="L12" s="38"/>
      <c r="M12" s="37">
        <f>SUM(M2:N11)</f>
        <v>969897.1133394104</v>
      </c>
      <c r="N12" s="38"/>
    </row>
    <row r="15" spans="1:14" x14ac:dyDescent="0.25">
      <c r="A15" s="30" t="s">
        <v>53</v>
      </c>
      <c r="B15" s="30"/>
      <c r="C15" s="30"/>
      <c r="D15" s="30"/>
    </row>
    <row r="17" spans="1:7" x14ac:dyDescent="0.25">
      <c r="B17" s="35" t="s">
        <v>54</v>
      </c>
      <c r="C17" s="36"/>
      <c r="D17" s="26">
        <f>F12/B12</f>
        <v>60.410361592221207</v>
      </c>
    </row>
    <row r="19" spans="1:7" x14ac:dyDescent="0.25">
      <c r="B19" s="33" t="s">
        <v>55</v>
      </c>
      <c r="C19" s="34"/>
      <c r="D19" s="34"/>
      <c r="E19" s="14"/>
      <c r="F19" s="14"/>
      <c r="G19" s="15"/>
    </row>
    <row r="20" spans="1:7" x14ac:dyDescent="0.25">
      <c r="B20" s="16"/>
      <c r="C20" s="17"/>
      <c r="D20" s="17"/>
      <c r="E20" s="17"/>
      <c r="F20" s="17"/>
      <c r="G20" s="18"/>
    </row>
    <row r="21" spans="1:7" x14ac:dyDescent="0.25">
      <c r="B21" s="16"/>
      <c r="C21" s="17" t="s">
        <v>56</v>
      </c>
      <c r="D21" s="17">
        <f>MAX(B2:C11)</f>
        <v>2113</v>
      </c>
      <c r="E21" s="17"/>
      <c r="F21" s="17" t="s">
        <v>57</v>
      </c>
      <c r="G21" s="18" t="s">
        <v>65</v>
      </c>
    </row>
    <row r="22" spans="1:7" x14ac:dyDescent="0.25">
      <c r="B22" s="16"/>
      <c r="C22" s="17"/>
      <c r="D22" s="17"/>
      <c r="E22" s="17"/>
      <c r="F22" s="17"/>
      <c r="G22" s="18"/>
    </row>
    <row r="23" spans="1:7" x14ac:dyDescent="0.25">
      <c r="B23" s="20"/>
      <c r="C23" s="21">
        <f>61+10*(B8-B7)/((B8-B7)+(B8-B9))</f>
        <v>62.849710982658962</v>
      </c>
      <c r="D23" s="22"/>
      <c r="E23" s="22"/>
      <c r="F23" s="22"/>
      <c r="G23" s="23"/>
    </row>
    <row r="25" spans="1:7" x14ac:dyDescent="0.25">
      <c r="B25" s="33" t="s">
        <v>58</v>
      </c>
      <c r="C25" s="34"/>
      <c r="D25" s="15"/>
    </row>
    <row r="26" spans="1:7" x14ac:dyDescent="0.25">
      <c r="B26" s="16"/>
      <c r="C26" s="17"/>
      <c r="D26" s="18"/>
    </row>
    <row r="27" spans="1:7" x14ac:dyDescent="0.25">
      <c r="B27" s="16"/>
      <c r="C27" s="17" t="s">
        <v>59</v>
      </c>
      <c r="D27" s="18" t="s">
        <v>66</v>
      </c>
    </row>
    <row r="28" spans="1:7" x14ac:dyDescent="0.25">
      <c r="B28" s="20"/>
      <c r="C28" s="27">
        <f>61+10*((1/2*B12-G7)/B8)</f>
        <v>61.383341221012778</v>
      </c>
      <c r="D28" s="23"/>
    </row>
    <row r="30" spans="1:7" x14ac:dyDescent="0.25">
      <c r="A30" s="30" t="s">
        <v>60</v>
      </c>
      <c r="B30" s="30"/>
      <c r="C30" s="30"/>
    </row>
    <row r="32" spans="1:7" x14ac:dyDescent="0.25">
      <c r="B32" s="31" t="s">
        <v>61</v>
      </c>
      <c r="C32" s="32"/>
      <c r="D32" s="32"/>
      <c r="E32" s="32"/>
      <c r="F32" s="26">
        <f>I12/B12</f>
        <v>9.9915711671315961</v>
      </c>
    </row>
    <row r="34" spans="2:6" x14ac:dyDescent="0.25">
      <c r="B34" s="28" t="s">
        <v>62</v>
      </c>
      <c r="C34" s="29"/>
      <c r="D34" s="26">
        <f>M12/B12</f>
        <v>147.35598804913559</v>
      </c>
    </row>
    <row r="36" spans="2:6" x14ac:dyDescent="0.25">
      <c r="B36" s="28" t="s">
        <v>63</v>
      </c>
      <c r="C36" s="29"/>
      <c r="D36" s="29"/>
      <c r="E36" s="29"/>
      <c r="F36" s="26">
        <f>SQRT(D34)</f>
        <v>12.139027475425516</v>
      </c>
    </row>
    <row r="38" spans="2:6" x14ac:dyDescent="0.25">
      <c r="B38" s="28" t="s">
        <v>64</v>
      </c>
      <c r="C38" s="29"/>
      <c r="D38" s="26">
        <f>F36/D17</f>
        <v>0.20094280443751902</v>
      </c>
    </row>
  </sheetData>
  <mergeCells count="69">
    <mergeCell ref="B1:C1"/>
    <mergeCell ref="D1:E1"/>
    <mergeCell ref="I1:J1"/>
    <mergeCell ref="K1:L1"/>
    <mergeCell ref="M1:N1"/>
    <mergeCell ref="B2:C2"/>
    <mergeCell ref="D2:E2"/>
    <mergeCell ref="I2:J2"/>
    <mergeCell ref="K2:L2"/>
    <mergeCell ref="M2:N2"/>
    <mergeCell ref="B3:C3"/>
    <mergeCell ref="D3:E3"/>
    <mergeCell ref="I3:J3"/>
    <mergeCell ref="K3:L3"/>
    <mergeCell ref="M3:N3"/>
    <mergeCell ref="B4:C4"/>
    <mergeCell ref="D4:E4"/>
    <mergeCell ref="I4:J4"/>
    <mergeCell ref="K4:L4"/>
    <mergeCell ref="M4:N4"/>
    <mergeCell ref="B5:C5"/>
    <mergeCell ref="D5:E5"/>
    <mergeCell ref="I5:J5"/>
    <mergeCell ref="K5:L5"/>
    <mergeCell ref="M5:N5"/>
    <mergeCell ref="B6:C6"/>
    <mergeCell ref="D6:E6"/>
    <mergeCell ref="I6:J6"/>
    <mergeCell ref="K6:L6"/>
    <mergeCell ref="M6:N6"/>
    <mergeCell ref="B7:C7"/>
    <mergeCell ref="D7:E7"/>
    <mergeCell ref="I7:J7"/>
    <mergeCell ref="K7:L7"/>
    <mergeCell ref="M7:N7"/>
    <mergeCell ref="B8:C8"/>
    <mergeCell ref="D8:E8"/>
    <mergeCell ref="I8:J8"/>
    <mergeCell ref="K8:L8"/>
    <mergeCell ref="M8:N8"/>
    <mergeCell ref="B9:C9"/>
    <mergeCell ref="D9:E9"/>
    <mergeCell ref="I9:J9"/>
    <mergeCell ref="K9:L9"/>
    <mergeCell ref="M9:N9"/>
    <mergeCell ref="B10:C10"/>
    <mergeCell ref="D10:E10"/>
    <mergeCell ref="I10:J10"/>
    <mergeCell ref="K10:L10"/>
    <mergeCell ref="M10:N10"/>
    <mergeCell ref="I12:J12"/>
    <mergeCell ref="K12:L12"/>
    <mergeCell ref="M12:N12"/>
    <mergeCell ref="B11:C11"/>
    <mergeCell ref="D11:E11"/>
    <mergeCell ref="I11:J11"/>
    <mergeCell ref="K11:L11"/>
    <mergeCell ref="M11:N11"/>
    <mergeCell ref="B19:D19"/>
    <mergeCell ref="A15:D15"/>
    <mergeCell ref="B17:C17"/>
    <mergeCell ref="B25:C25"/>
    <mergeCell ref="B12:C12"/>
    <mergeCell ref="D12:E12"/>
    <mergeCell ref="B38:C38"/>
    <mergeCell ref="A30:C30"/>
    <mergeCell ref="B32:E32"/>
    <mergeCell ref="B34:C34"/>
    <mergeCell ref="B36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3" workbookViewId="0">
      <selection activeCell="B1" sqref="B1:C11"/>
    </sheetView>
  </sheetViews>
  <sheetFormatPr defaultRowHeight="15" x14ac:dyDescent="0.25"/>
  <sheetData>
    <row r="1" spans="1:15" x14ac:dyDescent="0.25">
      <c r="A1" s="1" t="s">
        <v>0</v>
      </c>
      <c r="B1" s="70" t="s">
        <v>1</v>
      </c>
      <c r="C1" s="70"/>
      <c r="D1" s="71" t="s">
        <v>2</v>
      </c>
      <c r="E1" s="72"/>
      <c r="F1" s="1" t="s">
        <v>3</v>
      </c>
      <c r="G1" s="2" t="s">
        <v>4</v>
      </c>
      <c r="H1" s="73" t="s">
        <v>5</v>
      </c>
      <c r="I1" s="73"/>
      <c r="J1" s="74" t="s">
        <v>6</v>
      </c>
      <c r="K1" s="74"/>
      <c r="L1" s="62" t="s">
        <v>7</v>
      </c>
      <c r="M1" s="62"/>
      <c r="N1" s="62" t="s">
        <v>8</v>
      </c>
      <c r="O1" s="62"/>
    </row>
    <row r="2" spans="1:15" x14ac:dyDescent="0.25">
      <c r="A2" s="3" t="s">
        <v>9</v>
      </c>
      <c r="B2" s="39">
        <v>0</v>
      </c>
      <c r="C2" s="40"/>
      <c r="D2" s="64">
        <v>5</v>
      </c>
      <c r="E2" s="65"/>
      <c r="F2" s="3">
        <f>D2*B2</f>
        <v>0</v>
      </c>
      <c r="G2" s="3">
        <f>D2-D$15</f>
        <v>-55.410361592221207</v>
      </c>
      <c r="H2" s="69">
        <f>G2^2</f>
        <v>3070.3081717807031</v>
      </c>
      <c r="I2" s="69"/>
      <c r="J2" s="28">
        <f t="shared" ref="J2:J11" si="0">H2*B2</f>
        <v>0</v>
      </c>
      <c r="K2" s="41"/>
      <c r="L2" s="68">
        <f>G2^3*B2</f>
        <v>0</v>
      </c>
      <c r="M2" s="68"/>
      <c r="N2" s="68">
        <f>G2^4*B2</f>
        <v>0</v>
      </c>
      <c r="O2" s="68"/>
    </row>
    <row r="3" spans="1:15" x14ac:dyDescent="0.25">
      <c r="A3" s="6" t="s">
        <v>10</v>
      </c>
      <c r="B3" s="39">
        <v>0</v>
      </c>
      <c r="C3" s="40"/>
      <c r="D3" s="64">
        <v>15.5</v>
      </c>
      <c r="E3" s="65"/>
      <c r="F3" s="3">
        <f t="shared" ref="F3:F11" si="1">D3*B3</f>
        <v>0</v>
      </c>
      <c r="G3" s="3">
        <f t="shared" ref="G3:G11" si="2">D3-D$15</f>
        <v>-44.910361592221207</v>
      </c>
      <c r="H3" s="66">
        <f t="shared" ref="H3:H11" si="3">G3^2</f>
        <v>2016.9405783440577</v>
      </c>
      <c r="I3" s="67"/>
      <c r="J3" s="28">
        <f t="shared" si="0"/>
        <v>0</v>
      </c>
      <c r="K3" s="41"/>
      <c r="L3" s="68">
        <f t="shared" ref="L3:L11" si="4">G3^3*B3</f>
        <v>0</v>
      </c>
      <c r="M3" s="68"/>
      <c r="N3" s="68">
        <f t="shared" ref="N3:N11" si="5">G3^4*B3</f>
        <v>0</v>
      </c>
      <c r="O3" s="68"/>
    </row>
    <row r="4" spans="1:15" x14ac:dyDescent="0.25">
      <c r="A4" s="3" t="s">
        <v>11</v>
      </c>
      <c r="B4" s="39">
        <v>32</v>
      </c>
      <c r="C4" s="40"/>
      <c r="D4" s="64">
        <v>25.5</v>
      </c>
      <c r="E4" s="65"/>
      <c r="F4" s="3">
        <f t="shared" si="1"/>
        <v>816</v>
      </c>
      <c r="G4" s="3">
        <f t="shared" si="2"/>
        <v>-34.910361592221207</v>
      </c>
      <c r="H4" s="66">
        <f t="shared" si="3"/>
        <v>1218.7333464996336</v>
      </c>
      <c r="I4" s="67"/>
      <c r="J4" s="28">
        <f t="shared" si="0"/>
        <v>38999.467087988276</v>
      </c>
      <c r="K4" s="41"/>
      <c r="L4" s="68">
        <f t="shared" si="4"/>
        <v>-1361485.4979456009</v>
      </c>
      <c r="M4" s="68"/>
      <c r="N4" s="68">
        <f t="shared" si="5"/>
        <v>47529951.035846271</v>
      </c>
      <c r="O4" s="68"/>
    </row>
    <row r="5" spans="1:15" x14ac:dyDescent="0.25">
      <c r="A5" s="3" t="s">
        <v>12</v>
      </c>
      <c r="B5" s="39">
        <v>295</v>
      </c>
      <c r="C5" s="40"/>
      <c r="D5" s="64">
        <v>35.5</v>
      </c>
      <c r="E5" s="65"/>
      <c r="F5" s="3">
        <f t="shared" si="1"/>
        <v>10472.5</v>
      </c>
      <c r="G5" s="3">
        <f t="shared" si="2"/>
        <v>-24.910361592221207</v>
      </c>
      <c r="H5" s="66">
        <f t="shared" si="3"/>
        <v>620.52611465520943</v>
      </c>
      <c r="I5" s="67"/>
      <c r="J5" s="28">
        <f t="shared" si="0"/>
        <v>183055.20382328678</v>
      </c>
      <c r="K5" s="41"/>
      <c r="L5" s="68">
        <f t="shared" si="4"/>
        <v>-4559971.3185758274</v>
      </c>
      <c r="M5" s="68"/>
      <c r="N5" s="68">
        <f t="shared" si="5"/>
        <v>113590534.39588158</v>
      </c>
      <c r="O5" s="68"/>
    </row>
    <row r="6" spans="1:15" x14ac:dyDescent="0.25">
      <c r="A6" s="3" t="s">
        <v>13</v>
      </c>
      <c r="B6" s="39">
        <v>1026</v>
      </c>
      <c r="C6" s="40"/>
      <c r="D6" s="64">
        <v>45.5</v>
      </c>
      <c r="E6" s="65"/>
      <c r="F6" s="3">
        <f t="shared" si="1"/>
        <v>46683</v>
      </c>
      <c r="G6" s="3">
        <f t="shared" si="2"/>
        <v>-14.910361592221207</v>
      </c>
      <c r="H6" s="66">
        <f t="shared" si="3"/>
        <v>222.31888281078534</v>
      </c>
      <c r="I6" s="67"/>
      <c r="J6" s="28">
        <f t="shared" si="0"/>
        <v>228099.17376386575</v>
      </c>
      <c r="K6" s="41"/>
      <c r="L6" s="68">
        <f t="shared" si="4"/>
        <v>-3401041.1597061353</v>
      </c>
      <c r="M6" s="68"/>
      <c r="N6" s="68">
        <f t="shared" si="5"/>
        <v>50710753.481245831</v>
      </c>
      <c r="O6" s="68"/>
    </row>
    <row r="7" spans="1:15" x14ac:dyDescent="0.25">
      <c r="A7" s="3" t="s">
        <v>14</v>
      </c>
      <c r="B7" s="39">
        <v>1857</v>
      </c>
      <c r="C7" s="40"/>
      <c r="D7" s="64">
        <v>55.5</v>
      </c>
      <c r="E7" s="65"/>
      <c r="F7" s="3">
        <f t="shared" si="1"/>
        <v>103063.5</v>
      </c>
      <c r="G7" s="3">
        <f t="shared" si="2"/>
        <v>-4.9103615922212072</v>
      </c>
      <c r="H7" s="66">
        <f t="shared" si="3"/>
        <v>24.111650966361189</v>
      </c>
      <c r="I7" s="67"/>
      <c r="J7" s="28">
        <f t="shared" si="0"/>
        <v>44775.335844532732</v>
      </c>
      <c r="K7" s="41"/>
      <c r="L7" s="68">
        <f t="shared" si="4"/>
        <v>-219863.08940979902</v>
      </c>
      <c r="M7" s="68"/>
      <c r="N7" s="68">
        <f t="shared" si="5"/>
        <v>1079607.2697849744</v>
      </c>
      <c r="O7" s="68"/>
    </row>
    <row r="8" spans="1:15" x14ac:dyDescent="0.25">
      <c r="A8" s="3" t="s">
        <v>15</v>
      </c>
      <c r="B8" s="39">
        <v>2113</v>
      </c>
      <c r="C8" s="40"/>
      <c r="D8" s="64">
        <v>65.5</v>
      </c>
      <c r="E8" s="65"/>
      <c r="F8" s="3">
        <f t="shared" si="1"/>
        <v>138401.5</v>
      </c>
      <c r="G8" s="3">
        <f t="shared" si="2"/>
        <v>5.0896384077787928</v>
      </c>
      <c r="H8" s="66">
        <f t="shared" si="3"/>
        <v>25.904419121937046</v>
      </c>
      <c r="I8" s="67"/>
      <c r="J8" s="28">
        <f t="shared" si="0"/>
        <v>54736.037604652978</v>
      </c>
      <c r="K8" s="41"/>
      <c r="L8" s="68">
        <f t="shared" si="4"/>
        <v>278586.63928226609</v>
      </c>
      <c r="M8" s="68"/>
      <c r="N8" s="68">
        <f t="shared" si="5"/>
        <v>1417905.2591850378</v>
      </c>
      <c r="O8" s="68"/>
    </row>
    <row r="9" spans="1:15" x14ac:dyDescent="0.25">
      <c r="A9" s="3" t="s">
        <v>16</v>
      </c>
      <c r="B9" s="39">
        <v>985</v>
      </c>
      <c r="C9" s="40"/>
      <c r="D9" s="64">
        <v>75.5</v>
      </c>
      <c r="E9" s="65"/>
      <c r="F9" s="3">
        <f t="shared" si="1"/>
        <v>74367.5</v>
      </c>
      <c r="G9" s="3">
        <f t="shared" si="2"/>
        <v>15.089638407778793</v>
      </c>
      <c r="H9" s="66">
        <f t="shared" si="3"/>
        <v>227.69718727751291</v>
      </c>
      <c r="I9" s="67"/>
      <c r="J9" s="28">
        <f t="shared" si="0"/>
        <v>224281.72946835021</v>
      </c>
      <c r="K9" s="41"/>
      <c r="L9" s="68">
        <f t="shared" si="4"/>
        <v>3384330.1991486698</v>
      </c>
      <c r="M9" s="68"/>
      <c r="N9" s="68">
        <f t="shared" si="5"/>
        <v>51068318.957679428</v>
      </c>
      <c r="O9" s="68"/>
    </row>
    <row r="10" spans="1:15" x14ac:dyDescent="0.25">
      <c r="A10" s="3" t="s">
        <v>17</v>
      </c>
      <c r="B10" s="39">
        <v>235</v>
      </c>
      <c r="C10" s="40"/>
      <c r="D10" s="64">
        <v>85.5</v>
      </c>
      <c r="E10" s="65"/>
      <c r="F10" s="3">
        <f t="shared" si="1"/>
        <v>20092.5</v>
      </c>
      <c r="G10" s="3">
        <f t="shared" si="2"/>
        <v>25.089638407778793</v>
      </c>
      <c r="H10" s="66">
        <f t="shared" si="3"/>
        <v>629.48995543308877</v>
      </c>
      <c r="I10" s="67"/>
      <c r="J10" s="28">
        <f t="shared" si="0"/>
        <v>147930.13952677586</v>
      </c>
      <c r="K10" s="41"/>
      <c r="L10" s="68">
        <f t="shared" si="4"/>
        <v>3711513.7103390712</v>
      </c>
      <c r="M10" s="68"/>
      <c r="N10" s="68">
        <f t="shared" si="5"/>
        <v>93120536.937920734</v>
      </c>
      <c r="O10" s="68"/>
    </row>
    <row r="11" spans="1:15" x14ac:dyDescent="0.25">
      <c r="A11" s="3" t="s">
        <v>18</v>
      </c>
      <c r="B11" s="39">
        <v>39</v>
      </c>
      <c r="C11" s="40"/>
      <c r="D11" s="64">
        <v>95.5</v>
      </c>
      <c r="E11" s="65"/>
      <c r="F11" s="3">
        <f t="shared" si="1"/>
        <v>3724.5</v>
      </c>
      <c r="G11" s="3">
        <f t="shared" si="2"/>
        <v>35.089638407778793</v>
      </c>
      <c r="H11" s="66">
        <f t="shared" si="3"/>
        <v>1231.2827235886646</v>
      </c>
      <c r="I11" s="67"/>
      <c r="J11" s="28">
        <f t="shared" si="0"/>
        <v>48020.026219957916</v>
      </c>
      <c r="K11" s="41"/>
      <c r="L11" s="68">
        <f t="shared" si="4"/>
        <v>1685005.3563903801</v>
      </c>
      <c r="M11" s="68"/>
      <c r="N11" s="68">
        <f t="shared" si="5"/>
        <v>59126228.670908868</v>
      </c>
      <c r="O11" s="68"/>
    </row>
    <row r="12" spans="1:15" x14ac:dyDescent="0.25">
      <c r="A12" s="7" t="s">
        <v>19</v>
      </c>
      <c r="B12" s="59">
        <f>SUM(B2:C11)</f>
        <v>6582</v>
      </c>
      <c r="C12" s="60"/>
      <c r="D12" s="59"/>
      <c r="E12" s="60"/>
      <c r="F12" s="7">
        <f>SUM(F2:F11)</f>
        <v>397621</v>
      </c>
      <c r="G12" s="7"/>
      <c r="H12" s="61"/>
      <c r="I12" s="61"/>
      <c r="J12" s="37">
        <f>SUM(J2:K11)</f>
        <v>969897.1133394104</v>
      </c>
      <c r="K12" s="38"/>
      <c r="L12" s="62">
        <f>SUM(L2:M11)</f>
        <v>-482925.16047697444</v>
      </c>
      <c r="M12" s="62"/>
      <c r="N12" s="63">
        <f>SUM(N2:O11)</f>
        <v>417643836.00845277</v>
      </c>
      <c r="O12" s="63"/>
    </row>
    <row r="15" spans="1:15" x14ac:dyDescent="0.25">
      <c r="B15" s="55" t="s">
        <v>20</v>
      </c>
      <c r="C15" s="55"/>
      <c r="D15" s="10">
        <f>F12/B12</f>
        <v>60.410361592221207</v>
      </c>
    </row>
    <row r="17" spans="2:10" x14ac:dyDescent="0.25">
      <c r="B17" s="55" t="s">
        <v>21</v>
      </c>
      <c r="C17" s="55"/>
      <c r="D17" s="55"/>
      <c r="E17" s="55"/>
      <c r="F17" s="55"/>
      <c r="G17" s="11">
        <v>12.13903</v>
      </c>
    </row>
    <row r="19" spans="2:10" x14ac:dyDescent="0.25">
      <c r="B19" s="30" t="s">
        <v>22</v>
      </c>
      <c r="C19" s="30"/>
      <c r="D19" s="30"/>
    </row>
    <row r="20" spans="2:10" x14ac:dyDescent="0.25">
      <c r="C20" s="55" t="s">
        <v>23</v>
      </c>
      <c r="D20" s="55"/>
      <c r="E20" s="10">
        <f>J12/B12</f>
        <v>147.35598804913559</v>
      </c>
      <c r="F20" t="s">
        <v>24</v>
      </c>
    </row>
    <row r="22" spans="2:10" x14ac:dyDescent="0.25">
      <c r="C22" t="s">
        <v>25</v>
      </c>
      <c r="E22" s="10">
        <f>L12/B12</f>
        <v>-73.370580443174489</v>
      </c>
    </row>
    <row r="24" spans="2:10" x14ac:dyDescent="0.25">
      <c r="C24" s="56" t="s">
        <v>26</v>
      </c>
      <c r="D24" s="56"/>
      <c r="E24" s="58">
        <f>N12/B12</f>
        <v>63452.421149871283</v>
      </c>
      <c r="F24" s="58"/>
    </row>
    <row r="27" spans="2:10" x14ac:dyDescent="0.25">
      <c r="B27" s="57" t="s">
        <v>27</v>
      </c>
      <c r="C27" s="57"/>
      <c r="D27" s="57"/>
      <c r="E27" s="57"/>
    </row>
    <row r="28" spans="2:10" x14ac:dyDescent="0.25">
      <c r="C28" s="48" t="s">
        <v>28</v>
      </c>
      <c r="D28" s="49"/>
      <c r="E28" s="13">
        <f>E22/G17^3</f>
        <v>-4.1017576870592945E-2</v>
      </c>
      <c r="F28" s="14"/>
      <c r="G28" s="50" t="s">
        <v>29</v>
      </c>
      <c r="H28" s="50"/>
      <c r="I28" s="50"/>
      <c r="J28" s="15"/>
    </row>
    <row r="29" spans="2:10" x14ac:dyDescent="0.25">
      <c r="C29" s="16"/>
      <c r="D29" s="17"/>
      <c r="E29" s="17"/>
      <c r="F29" s="17"/>
      <c r="G29" s="17"/>
      <c r="H29" s="17"/>
      <c r="I29" s="17"/>
      <c r="J29" s="18"/>
    </row>
    <row r="30" spans="2:10" x14ac:dyDescent="0.25">
      <c r="C30" s="16"/>
      <c r="D30" s="19" t="s">
        <v>30</v>
      </c>
      <c r="E30" s="19"/>
      <c r="F30" s="17"/>
      <c r="G30" s="11">
        <f>SQRT(6/B12)</f>
        <v>3.0192333931958422E-2</v>
      </c>
      <c r="H30" s="17"/>
      <c r="I30" s="17"/>
      <c r="J30" s="18"/>
    </row>
    <row r="31" spans="2:10" x14ac:dyDescent="0.25">
      <c r="C31" s="16"/>
      <c r="D31" s="17"/>
      <c r="E31" s="17"/>
      <c r="F31" s="17"/>
      <c r="G31" s="17"/>
      <c r="H31" s="17"/>
      <c r="I31" s="17"/>
      <c r="J31" s="18"/>
    </row>
    <row r="32" spans="2:10" x14ac:dyDescent="0.25">
      <c r="C32" s="20"/>
      <c r="D32" s="51" t="s">
        <v>31</v>
      </c>
      <c r="E32" s="51"/>
      <c r="F32" s="51"/>
      <c r="G32" s="21">
        <f>ABS(E28)/G30</f>
        <v>1.3585427666185177</v>
      </c>
      <c r="H32" s="22" t="s">
        <v>32</v>
      </c>
      <c r="I32" s="22"/>
      <c r="J32" s="23"/>
    </row>
    <row r="34" spans="3:12" x14ac:dyDescent="0.25">
      <c r="C34" s="24" t="s">
        <v>33</v>
      </c>
      <c r="D34" s="14"/>
      <c r="E34" s="13">
        <f>E24/G17^4-3</f>
        <v>-7.7784370847388651E-2</v>
      </c>
      <c r="F34" s="49" t="s">
        <v>34</v>
      </c>
      <c r="G34" s="49"/>
      <c r="H34" s="49"/>
      <c r="I34" s="49"/>
      <c r="J34" s="49"/>
      <c r="K34" s="14"/>
      <c r="L34" s="15"/>
    </row>
    <row r="35" spans="3:12" x14ac:dyDescent="0.25">
      <c r="C35" s="16"/>
      <c r="D35" s="17"/>
      <c r="E35" s="17"/>
      <c r="F35" s="17"/>
      <c r="G35" s="17"/>
      <c r="H35" s="17"/>
      <c r="I35" s="17"/>
      <c r="J35" s="17"/>
      <c r="K35" s="17"/>
      <c r="L35" s="18"/>
    </row>
    <row r="36" spans="3:12" x14ac:dyDescent="0.25">
      <c r="C36" s="16"/>
      <c r="D36" s="52" t="s">
        <v>35</v>
      </c>
      <c r="E36" s="52"/>
      <c r="F36" s="11">
        <f>SQRT(24/B12)</f>
        <v>6.0384667863916844E-2</v>
      </c>
      <c r="G36" s="17"/>
      <c r="H36" s="17"/>
      <c r="I36" s="17"/>
      <c r="J36" s="17"/>
      <c r="K36" s="17"/>
      <c r="L36" s="18"/>
    </row>
    <row r="37" spans="3:12" x14ac:dyDescent="0.25">
      <c r="C37" s="16"/>
      <c r="D37" s="17"/>
      <c r="E37" s="17"/>
      <c r="F37" s="17"/>
      <c r="G37" s="17"/>
      <c r="H37" s="17"/>
      <c r="I37" s="17"/>
      <c r="J37" s="17"/>
      <c r="K37" s="17"/>
      <c r="L37" s="18"/>
    </row>
    <row r="38" spans="3:12" x14ac:dyDescent="0.25">
      <c r="C38" s="20"/>
      <c r="D38" s="25" t="s">
        <v>36</v>
      </c>
      <c r="E38" s="25"/>
      <c r="F38" s="25"/>
      <c r="G38" s="21">
        <f>ABS(E34)/F36</f>
        <v>1.2881476970724399</v>
      </c>
      <c r="H38" s="53" t="s">
        <v>37</v>
      </c>
      <c r="I38" s="53"/>
      <c r="J38" s="53"/>
      <c r="K38" s="53"/>
      <c r="L38" s="54"/>
    </row>
  </sheetData>
  <mergeCells count="85">
    <mergeCell ref="N2:O2"/>
    <mergeCell ref="B1:C1"/>
    <mergeCell ref="D1:E1"/>
    <mergeCell ref="H1:I1"/>
    <mergeCell ref="J1:K1"/>
    <mergeCell ref="L1:M1"/>
    <mergeCell ref="N1:O1"/>
    <mergeCell ref="B2:C2"/>
    <mergeCell ref="D2:E2"/>
    <mergeCell ref="H2:I2"/>
    <mergeCell ref="J2:K2"/>
    <mergeCell ref="L2:M2"/>
    <mergeCell ref="N4:O4"/>
    <mergeCell ref="B3:C3"/>
    <mergeCell ref="D3:E3"/>
    <mergeCell ref="H3:I3"/>
    <mergeCell ref="J3:K3"/>
    <mergeCell ref="L3:M3"/>
    <mergeCell ref="N3:O3"/>
    <mergeCell ref="B4:C4"/>
    <mergeCell ref="D4:E4"/>
    <mergeCell ref="H4:I4"/>
    <mergeCell ref="J4:K4"/>
    <mergeCell ref="L4:M4"/>
    <mergeCell ref="N6:O6"/>
    <mergeCell ref="B5:C5"/>
    <mergeCell ref="D5:E5"/>
    <mergeCell ref="H5:I5"/>
    <mergeCell ref="J5:K5"/>
    <mergeCell ref="L5:M5"/>
    <mergeCell ref="N5:O5"/>
    <mergeCell ref="B6:C6"/>
    <mergeCell ref="D6:E6"/>
    <mergeCell ref="H6:I6"/>
    <mergeCell ref="J6:K6"/>
    <mergeCell ref="L6:M6"/>
    <mergeCell ref="N8:O8"/>
    <mergeCell ref="B7:C7"/>
    <mergeCell ref="D7:E7"/>
    <mergeCell ref="H7:I7"/>
    <mergeCell ref="J7:K7"/>
    <mergeCell ref="L7:M7"/>
    <mergeCell ref="N7:O7"/>
    <mergeCell ref="B8:C8"/>
    <mergeCell ref="D8:E8"/>
    <mergeCell ref="H8:I8"/>
    <mergeCell ref="J8:K8"/>
    <mergeCell ref="L8:M8"/>
    <mergeCell ref="N10:O10"/>
    <mergeCell ref="B9:C9"/>
    <mergeCell ref="D9:E9"/>
    <mergeCell ref="H9:I9"/>
    <mergeCell ref="J9:K9"/>
    <mergeCell ref="L9:M9"/>
    <mergeCell ref="N9:O9"/>
    <mergeCell ref="B10:C10"/>
    <mergeCell ref="D10:E10"/>
    <mergeCell ref="H10:I10"/>
    <mergeCell ref="J10:K10"/>
    <mergeCell ref="L10:M10"/>
    <mergeCell ref="N12:O12"/>
    <mergeCell ref="B11:C11"/>
    <mergeCell ref="D11:E11"/>
    <mergeCell ref="H11:I11"/>
    <mergeCell ref="J11:K11"/>
    <mergeCell ref="L11:M11"/>
    <mergeCell ref="N11:O11"/>
    <mergeCell ref="B12:C12"/>
    <mergeCell ref="D12:E12"/>
    <mergeCell ref="H12:I12"/>
    <mergeCell ref="J12:K12"/>
    <mergeCell ref="L12:M12"/>
    <mergeCell ref="H38:L38"/>
    <mergeCell ref="B15:C15"/>
    <mergeCell ref="B17:F17"/>
    <mergeCell ref="B19:D19"/>
    <mergeCell ref="C20:D20"/>
    <mergeCell ref="C24:D24"/>
    <mergeCell ref="B27:E27"/>
    <mergeCell ref="E24:F24"/>
    <mergeCell ref="C28:D28"/>
    <mergeCell ref="G28:I28"/>
    <mergeCell ref="D32:F32"/>
    <mergeCell ref="F34:J34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0" sqref="A20:C23"/>
    </sheetView>
  </sheetViews>
  <sheetFormatPr defaultRowHeight="15" x14ac:dyDescent="0.25"/>
  <cols>
    <col min="3" max="3" width="9.140625" customWidth="1"/>
    <col min="5" max="5" width="12" bestFit="1" customWidth="1"/>
    <col min="7" max="7" width="12" bestFit="1" customWidth="1"/>
  </cols>
  <sheetData>
    <row r="1" spans="1:11" x14ac:dyDescent="0.25">
      <c r="A1" s="75" t="s">
        <v>68</v>
      </c>
      <c r="B1" s="75"/>
      <c r="C1" s="78" t="s">
        <v>67</v>
      </c>
      <c r="D1" s="79"/>
      <c r="E1" s="78" t="s">
        <v>69</v>
      </c>
      <c r="F1" s="79"/>
      <c r="G1" s="7" t="s">
        <v>70</v>
      </c>
      <c r="H1" s="8" t="s">
        <v>71</v>
      </c>
      <c r="I1" s="7" t="s">
        <v>72</v>
      </c>
      <c r="J1" s="70" t="s">
        <v>1</v>
      </c>
      <c r="K1" s="70"/>
    </row>
    <row r="2" spans="1:11" x14ac:dyDescent="0.25">
      <c r="A2" s="4">
        <v>0</v>
      </c>
      <c r="B2" s="4">
        <v>10.5</v>
      </c>
      <c r="C2" s="4">
        <f>(A2-C$15)/F$17</f>
        <v>-4.9765393116253929</v>
      </c>
      <c r="D2" s="4">
        <f>(B2-C$15)/F$17</f>
        <v>-4.1115608084006707</v>
      </c>
      <c r="E2" s="4">
        <v>0</v>
      </c>
      <c r="F2" s="4">
        <f>_xlfn.NORM.S.DIST(D2,1)</f>
        <v>1.9649666859932273E-5</v>
      </c>
      <c r="G2" s="5">
        <f>F2-E2</f>
        <v>1.9649666859932273E-5</v>
      </c>
      <c r="H2" s="5">
        <f>6582*G2</f>
        <v>0.12933410727207423</v>
      </c>
      <c r="I2" s="5">
        <f>POWER(J2-H2,2)/H2</f>
        <v>0.12933410727207423</v>
      </c>
      <c r="J2" s="39">
        <v>0</v>
      </c>
      <c r="K2" s="40"/>
    </row>
    <row r="3" spans="1:11" x14ac:dyDescent="0.25">
      <c r="A3" s="77">
        <v>10.5</v>
      </c>
      <c r="B3" s="4">
        <v>20.5</v>
      </c>
      <c r="C3" s="4">
        <f t="shared" ref="C3:C11" si="0">(A3-C$15)/F$17</f>
        <v>-4.1115608084006707</v>
      </c>
      <c r="D3" s="4">
        <f t="shared" ref="D3:D11" si="1">(B3-C$15)/F$17</f>
        <v>-3.2877717577104595</v>
      </c>
      <c r="E3" s="4">
        <f t="shared" ref="E3:E11" si="2">_xlfn.NORM.S.DIST(C3,1)</f>
        <v>1.9649666859932273E-5</v>
      </c>
      <c r="F3" s="4">
        <f t="shared" ref="F3:F11" si="3">_xlfn.NORM.S.DIST(D3,1)</f>
        <v>5.0491836618942897E-4</v>
      </c>
      <c r="G3" s="5">
        <f t="shared" ref="G3:G11" si="4">F3-E3</f>
        <v>4.8526869932949667E-4</v>
      </c>
      <c r="H3" s="5">
        <f t="shared" ref="H3:H11" si="5">6582*G3</f>
        <v>3.1940385789867469</v>
      </c>
      <c r="I3" s="5">
        <f t="shared" ref="I3:I11" si="6">POWER(J3-H3,2)/H3</f>
        <v>3.1940385789867469</v>
      </c>
      <c r="J3" s="39">
        <v>0</v>
      </c>
      <c r="K3" s="40"/>
    </row>
    <row r="4" spans="1:11" x14ac:dyDescent="0.25">
      <c r="A4" s="4">
        <v>20.5</v>
      </c>
      <c r="B4" s="4">
        <v>30.5</v>
      </c>
      <c r="C4" s="4">
        <f t="shared" si="0"/>
        <v>-3.2877717577104595</v>
      </c>
      <c r="D4" s="4">
        <f t="shared" si="1"/>
        <v>-2.4639827070202478</v>
      </c>
      <c r="E4" s="4">
        <f t="shared" si="2"/>
        <v>5.0491836618942897E-4</v>
      </c>
      <c r="F4" s="4">
        <f t="shared" si="3"/>
        <v>6.8701370263274438E-3</v>
      </c>
      <c r="G4" s="5">
        <f t="shared" si="4"/>
        <v>6.3652186601380152E-3</v>
      </c>
      <c r="H4" s="5">
        <f t="shared" si="5"/>
        <v>41.895869221028413</v>
      </c>
      <c r="I4" s="5">
        <f t="shared" si="6"/>
        <v>2.3374196420907589</v>
      </c>
      <c r="J4" s="39">
        <v>32</v>
      </c>
      <c r="K4" s="40"/>
    </row>
    <row r="5" spans="1:11" x14ac:dyDescent="0.25">
      <c r="A5" s="4">
        <v>30.5</v>
      </c>
      <c r="B5" s="4">
        <v>40.5</v>
      </c>
      <c r="C5" s="4">
        <f t="shared" si="0"/>
        <v>-2.4639827070202478</v>
      </c>
      <c r="D5" s="4">
        <f t="shared" si="1"/>
        <v>-1.6401936563300361</v>
      </c>
      <c r="E5" s="4">
        <f t="shared" si="2"/>
        <v>6.8701370263274438E-3</v>
      </c>
      <c r="F5" s="4">
        <f t="shared" si="3"/>
        <v>5.048245394674334E-2</v>
      </c>
      <c r="G5" s="5">
        <f t="shared" si="4"/>
        <v>4.3612316920415894E-2</v>
      </c>
      <c r="H5" s="5">
        <f t="shared" si="5"/>
        <v>287.05626997017742</v>
      </c>
      <c r="I5" s="5">
        <f t="shared" si="6"/>
        <v>0.21982744635140972</v>
      </c>
      <c r="J5" s="39">
        <v>295</v>
      </c>
      <c r="K5" s="40"/>
    </row>
    <row r="6" spans="1:11" x14ac:dyDescent="0.25">
      <c r="A6" s="4">
        <v>40.5</v>
      </c>
      <c r="B6" s="4">
        <v>50.5</v>
      </c>
      <c r="C6" s="4">
        <f t="shared" si="0"/>
        <v>-1.6401936563300361</v>
      </c>
      <c r="D6" s="4">
        <f t="shared" si="1"/>
        <v>-0.81640460563982442</v>
      </c>
      <c r="E6" s="4">
        <f t="shared" si="2"/>
        <v>5.048245394674334E-2</v>
      </c>
      <c r="F6" s="4">
        <f t="shared" si="3"/>
        <v>0.20713438167081946</v>
      </c>
      <c r="G6" s="5">
        <f t="shared" si="4"/>
        <v>0.15665192772407613</v>
      </c>
      <c r="H6" s="5">
        <f t="shared" si="5"/>
        <v>1031.0829882798691</v>
      </c>
      <c r="I6" s="5">
        <f t="shared" si="6"/>
        <v>2.5057895578696251E-2</v>
      </c>
      <c r="J6" s="39">
        <v>1026</v>
      </c>
      <c r="K6" s="40"/>
    </row>
    <row r="7" spans="1:11" x14ac:dyDescent="0.25">
      <c r="A7" s="4">
        <v>50.5</v>
      </c>
      <c r="B7" s="4">
        <v>60.5</v>
      </c>
      <c r="C7" s="4">
        <f t="shared" si="0"/>
        <v>-0.81640460563982442</v>
      </c>
      <c r="D7" s="4">
        <f t="shared" si="1"/>
        <v>7.3844450503872906E-3</v>
      </c>
      <c r="E7" s="4">
        <f t="shared" si="2"/>
        <v>0.20713438167081946</v>
      </c>
      <c r="F7" s="4">
        <f t="shared" si="3"/>
        <v>0.5029459405741723</v>
      </c>
      <c r="G7" s="5">
        <f t="shared" si="4"/>
        <v>0.29581155890335287</v>
      </c>
      <c r="H7" s="5">
        <f t="shared" si="5"/>
        <v>1947.0316807018685</v>
      </c>
      <c r="I7" s="5">
        <f t="shared" si="6"/>
        <v>4.1631081868586968</v>
      </c>
      <c r="J7" s="39">
        <v>1857</v>
      </c>
      <c r="K7" s="40"/>
    </row>
    <row r="8" spans="1:11" x14ac:dyDescent="0.25">
      <c r="A8" s="4">
        <v>60.5</v>
      </c>
      <c r="B8" s="4">
        <v>70.5</v>
      </c>
      <c r="C8" s="4">
        <f t="shared" si="0"/>
        <v>7.3844450503872906E-3</v>
      </c>
      <c r="D8" s="4">
        <f t="shared" si="1"/>
        <v>0.83117349574059896</v>
      </c>
      <c r="E8" s="4">
        <f t="shared" si="2"/>
        <v>0.5029459405741723</v>
      </c>
      <c r="F8" s="4">
        <f t="shared" si="3"/>
        <v>0.79706218736087109</v>
      </c>
      <c r="G8" s="5">
        <f t="shared" si="4"/>
        <v>0.29411624678669879</v>
      </c>
      <c r="H8" s="5">
        <f t="shared" si="5"/>
        <v>1935.8731363500515</v>
      </c>
      <c r="I8" s="5">
        <f t="shared" si="6"/>
        <v>16.206602197921253</v>
      </c>
      <c r="J8" s="39">
        <v>2113</v>
      </c>
      <c r="K8" s="40"/>
    </row>
    <row r="9" spans="1:11" x14ac:dyDescent="0.25">
      <c r="A9" s="4">
        <v>70.5</v>
      </c>
      <c r="B9" s="4">
        <v>80.5</v>
      </c>
      <c r="C9" s="4">
        <f t="shared" si="0"/>
        <v>0.83117349574059896</v>
      </c>
      <c r="D9" s="4">
        <f t="shared" si="1"/>
        <v>1.6549625464308106</v>
      </c>
      <c r="E9" s="4">
        <f t="shared" si="2"/>
        <v>0.79706218736087109</v>
      </c>
      <c r="F9" s="4">
        <f t="shared" si="3"/>
        <v>0.95103395225849818</v>
      </c>
      <c r="G9" s="5">
        <f t="shared" si="4"/>
        <v>0.15397176489762709</v>
      </c>
      <c r="H9" s="5">
        <f t="shared" si="5"/>
        <v>1013.4421565561815</v>
      </c>
      <c r="I9" s="5">
        <f t="shared" si="6"/>
        <v>0.79822638552484093</v>
      </c>
      <c r="J9" s="39">
        <v>985</v>
      </c>
      <c r="K9" s="40"/>
    </row>
    <row r="10" spans="1:11" x14ac:dyDescent="0.25">
      <c r="A10" s="4">
        <v>80.5</v>
      </c>
      <c r="B10" s="4">
        <v>90.5</v>
      </c>
      <c r="C10" s="4">
        <f t="shared" si="0"/>
        <v>1.6549625464308106</v>
      </c>
      <c r="D10" s="4">
        <f t="shared" si="1"/>
        <v>2.4787515971210223</v>
      </c>
      <c r="E10" s="4">
        <f t="shared" si="2"/>
        <v>0.95103395225849818</v>
      </c>
      <c r="F10" s="4">
        <f t="shared" si="3"/>
        <v>0.99340784551560979</v>
      </c>
      <c r="G10" s="5">
        <f t="shared" si="4"/>
        <v>4.2373893257111606E-2</v>
      </c>
      <c r="H10" s="5">
        <f t="shared" si="5"/>
        <v>278.90496541830856</v>
      </c>
      <c r="I10" s="5">
        <f t="shared" si="6"/>
        <v>6.9114796342608669</v>
      </c>
      <c r="J10" s="39">
        <v>235</v>
      </c>
      <c r="K10" s="40"/>
    </row>
    <row r="11" spans="1:11" x14ac:dyDescent="0.25">
      <c r="A11" s="4">
        <v>90.5</v>
      </c>
      <c r="B11" s="4">
        <v>100</v>
      </c>
      <c r="C11" s="4">
        <f t="shared" si="0"/>
        <v>2.4787515971210223</v>
      </c>
      <c r="D11" s="4">
        <f t="shared" si="1"/>
        <v>3.2613511952767231</v>
      </c>
      <c r="E11" s="4">
        <f t="shared" si="2"/>
        <v>0.99340784551560979</v>
      </c>
      <c r="F11" s="4">
        <v>1</v>
      </c>
      <c r="G11" s="5">
        <f t="shared" si="4"/>
        <v>6.5921544843902113E-3</v>
      </c>
      <c r="H11" s="5">
        <f t="shared" si="5"/>
        <v>43.38956081625637</v>
      </c>
      <c r="I11" s="5">
        <f t="shared" si="6"/>
        <v>0.44407557479572912</v>
      </c>
      <c r="J11" s="39">
        <v>39</v>
      </c>
      <c r="K11" s="40"/>
    </row>
    <row r="12" spans="1:11" x14ac:dyDescent="0.25">
      <c r="A12" s="7" t="s">
        <v>19</v>
      </c>
      <c r="B12" s="5"/>
      <c r="C12" s="5"/>
      <c r="D12" s="5"/>
      <c r="E12" s="5"/>
      <c r="F12" s="5"/>
      <c r="G12" s="8">
        <f>SUM(G2:G11)</f>
        <v>1</v>
      </c>
      <c r="H12" s="7">
        <f>SUM(H2:H11)</f>
        <v>6582</v>
      </c>
      <c r="I12" s="7">
        <f>SUM(I2:I11)</f>
        <v>34.429169649641075</v>
      </c>
      <c r="J12" s="66"/>
      <c r="K12" s="67"/>
    </row>
    <row r="15" spans="1:11" x14ac:dyDescent="0.25">
      <c r="A15" s="9" t="s">
        <v>20</v>
      </c>
      <c r="C15" s="12">
        <v>60.410359999999997</v>
      </c>
    </row>
    <row r="17" spans="1:6" x14ac:dyDescent="0.25">
      <c r="A17" s="9" t="s">
        <v>21</v>
      </c>
      <c r="D17" s="9"/>
      <c r="E17" s="9"/>
      <c r="F17" s="12">
        <v>12.13903</v>
      </c>
    </row>
    <row r="20" spans="1:6" x14ac:dyDescent="0.25">
      <c r="A20" s="61" t="s">
        <v>73</v>
      </c>
      <c r="B20" s="61"/>
      <c r="C20" s="8" t="s">
        <v>74</v>
      </c>
    </row>
    <row r="21" spans="1:6" x14ac:dyDescent="0.25">
      <c r="A21" s="5">
        <v>0.999</v>
      </c>
      <c r="B21" s="5">
        <f>_xlfn.CHISQ.INV(A21,7)</f>
        <v>24.321886347856726</v>
      </c>
      <c r="C21" s="5" t="s">
        <v>75</v>
      </c>
    </row>
    <row r="22" spans="1:6" x14ac:dyDescent="0.25">
      <c r="A22" s="5">
        <v>0.99</v>
      </c>
      <c r="B22" s="5">
        <f t="shared" ref="B22:B23" si="7">_xlfn.CHISQ.INV(A22,7)</f>
        <v>18.475306906582354</v>
      </c>
      <c r="C22" s="5" t="s">
        <v>75</v>
      </c>
    </row>
    <row r="23" spans="1:6" x14ac:dyDescent="0.25">
      <c r="A23" s="5">
        <v>0.95</v>
      </c>
      <c r="B23" s="5">
        <f t="shared" si="7"/>
        <v>14.067140449340165</v>
      </c>
      <c r="C23" s="5" t="s">
        <v>75</v>
      </c>
    </row>
  </sheetData>
  <mergeCells count="16">
    <mergeCell ref="A20:B20"/>
    <mergeCell ref="J7:K7"/>
    <mergeCell ref="J8:K8"/>
    <mergeCell ref="J9:K9"/>
    <mergeCell ref="J10:K10"/>
    <mergeCell ref="J11:K11"/>
    <mergeCell ref="J12:K12"/>
    <mergeCell ref="J1:K1"/>
    <mergeCell ref="J2:K2"/>
    <mergeCell ref="J3:K3"/>
    <mergeCell ref="J4:K4"/>
    <mergeCell ref="J5:K5"/>
    <mergeCell ref="J6:K6"/>
    <mergeCell ref="A1:B1"/>
    <mergeCell ref="C1:D1"/>
    <mergeCell ref="E1:F1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 s="76" t="s">
        <v>76</v>
      </c>
      <c r="B1" s="80" t="s">
        <v>77</v>
      </c>
      <c r="C1" s="81"/>
      <c r="D1" s="8" t="s">
        <v>78</v>
      </c>
      <c r="E1" s="7" t="s">
        <v>79</v>
      </c>
      <c r="F1" s="7" t="s">
        <v>80</v>
      </c>
      <c r="G1" s="7" t="s">
        <v>81</v>
      </c>
    </row>
    <row r="2" spans="1:7" x14ac:dyDescent="0.25">
      <c r="A2" s="82" t="s">
        <v>43</v>
      </c>
      <c r="B2" s="69">
        <v>0</v>
      </c>
      <c r="C2" s="67"/>
      <c r="D2" s="4">
        <v>163</v>
      </c>
      <c r="E2" s="5">
        <f>D2/D$12</f>
        <v>1.8902758643083445E-4</v>
      </c>
      <c r="F2" s="5">
        <f>E2*B$12</f>
        <v>1.2441795738877524</v>
      </c>
      <c r="G2" s="5">
        <f>POWER(B2-F2,2)/F2</f>
        <v>1.2441795738877524</v>
      </c>
    </row>
    <row r="3" spans="1:7" x14ac:dyDescent="0.25">
      <c r="A3" s="83" t="s">
        <v>44</v>
      </c>
      <c r="B3" s="69">
        <v>0</v>
      </c>
      <c r="C3" s="67"/>
      <c r="D3" s="4">
        <v>155</v>
      </c>
      <c r="E3" s="5">
        <f t="shared" ref="E3:E11" si="0">D3/D$12</f>
        <v>1.7975015887594688E-4</v>
      </c>
      <c r="F3" s="5">
        <f t="shared" ref="F3:F11" si="1">E3*B$12</f>
        <v>1.1831155457214824</v>
      </c>
      <c r="G3" s="5">
        <f t="shared" ref="G3:G11" si="2">POWER(B3-F3,2)/F3</f>
        <v>1.1831155457214824</v>
      </c>
    </row>
    <row r="4" spans="1:7" x14ac:dyDescent="0.25">
      <c r="A4" s="82" t="s">
        <v>45</v>
      </c>
      <c r="B4" s="69">
        <v>32</v>
      </c>
      <c r="C4" s="67"/>
      <c r="D4" s="4">
        <v>4710</v>
      </c>
      <c r="E4" s="5">
        <f t="shared" si="0"/>
        <v>5.4620854729400632E-3</v>
      </c>
      <c r="F4" s="5">
        <f t="shared" si="1"/>
        <v>35.951446582891499</v>
      </c>
      <c r="G4" s="5">
        <f t="shared" si="2"/>
        <v>0.43430603164867454</v>
      </c>
    </row>
    <row r="5" spans="1:7" x14ac:dyDescent="0.25">
      <c r="A5" s="82" t="s">
        <v>46</v>
      </c>
      <c r="B5" s="69">
        <v>295</v>
      </c>
      <c r="C5" s="67"/>
      <c r="D5" s="4">
        <v>54813</v>
      </c>
      <c r="E5" s="5">
        <f t="shared" si="0"/>
        <v>6.3565454570756616E-2</v>
      </c>
      <c r="F5" s="5">
        <f t="shared" si="1"/>
        <v>418.38782198472006</v>
      </c>
      <c r="G5" s="5">
        <f t="shared" si="2"/>
        <v>36.388617961946757</v>
      </c>
    </row>
    <row r="6" spans="1:7" x14ac:dyDescent="0.25">
      <c r="A6" s="82" t="s">
        <v>47</v>
      </c>
      <c r="B6" s="69">
        <v>1026</v>
      </c>
      <c r="C6" s="67"/>
      <c r="D6" s="4">
        <v>176303</v>
      </c>
      <c r="E6" s="5">
        <f t="shared" si="0"/>
        <v>0.20445478877616816</v>
      </c>
      <c r="F6" s="5">
        <f t="shared" si="1"/>
        <v>1345.7214197247388</v>
      </c>
      <c r="G6" s="5">
        <f t="shared" si="2"/>
        <v>75.960584956514694</v>
      </c>
    </row>
    <row r="7" spans="1:7" x14ac:dyDescent="0.25">
      <c r="A7" s="82" t="s">
        <v>48</v>
      </c>
      <c r="B7" s="69">
        <v>1857</v>
      </c>
      <c r="C7" s="67"/>
      <c r="D7" s="4">
        <v>252989</v>
      </c>
      <c r="E7" s="5">
        <f t="shared" si="0"/>
        <v>0.29338588996043174</v>
      </c>
      <c r="F7" s="5">
        <f t="shared" si="1"/>
        <v>1931.0659277195618</v>
      </c>
      <c r="G7" s="5">
        <f t="shared" si="2"/>
        <v>2.8407945944329387</v>
      </c>
    </row>
    <row r="8" spans="1:7" x14ac:dyDescent="0.25">
      <c r="A8" s="82" t="s">
        <v>49</v>
      </c>
      <c r="B8" s="69">
        <v>2113</v>
      </c>
      <c r="C8" s="67"/>
      <c r="D8" s="4">
        <v>242347</v>
      </c>
      <c r="E8" s="5">
        <f t="shared" si="0"/>
        <v>0.28104459195554254</v>
      </c>
      <c r="F8" s="5">
        <f t="shared" si="1"/>
        <v>1849.8355042513811</v>
      </c>
      <c r="G8" s="5">
        <f t="shared" si="2"/>
        <v>37.438762345872611</v>
      </c>
    </row>
    <row r="9" spans="1:7" x14ac:dyDescent="0.25">
      <c r="A9" s="82" t="s">
        <v>50</v>
      </c>
      <c r="B9" s="69">
        <v>985</v>
      </c>
      <c r="C9" s="67"/>
      <c r="D9" s="4">
        <v>99705</v>
      </c>
      <c r="E9" s="5">
        <f t="shared" si="0"/>
        <v>0.11562573929500829</v>
      </c>
      <c r="F9" s="5">
        <f t="shared" si="1"/>
        <v>761.0486160397445</v>
      </c>
      <c r="G9" s="5">
        <f t="shared" si="2"/>
        <v>65.901469788750745</v>
      </c>
    </row>
    <row r="10" spans="1:7" x14ac:dyDescent="0.25">
      <c r="A10" s="82" t="s">
        <v>51</v>
      </c>
      <c r="B10" s="69">
        <v>235</v>
      </c>
      <c r="C10" s="67"/>
      <c r="D10" s="4">
        <v>25973</v>
      </c>
      <c r="E10" s="5">
        <f t="shared" si="0"/>
        <v>3.0120328235386892E-2</v>
      </c>
      <c r="F10" s="5">
        <f t="shared" si="1"/>
        <v>198.25200044531653</v>
      </c>
      <c r="G10" s="5">
        <f t="shared" si="2"/>
        <v>6.8116108197531124</v>
      </c>
    </row>
    <row r="11" spans="1:7" x14ac:dyDescent="0.25">
      <c r="A11" s="82" t="s">
        <v>52</v>
      </c>
      <c r="B11" s="69">
        <v>39</v>
      </c>
      <c r="C11" s="67"/>
      <c r="D11" s="4">
        <v>5150</v>
      </c>
      <c r="E11" s="5">
        <f t="shared" si="0"/>
        <v>5.9723439884588805E-3</v>
      </c>
      <c r="F11" s="5">
        <f t="shared" si="1"/>
        <v>39.309968132036353</v>
      </c>
      <c r="G11" s="5">
        <f t="shared" si="2"/>
        <v>2.44416995087319E-3</v>
      </c>
    </row>
    <row r="12" spans="1:7" x14ac:dyDescent="0.25">
      <c r="A12" s="7" t="s">
        <v>19</v>
      </c>
      <c r="B12" s="78">
        <f>SUM(B2:C11)</f>
        <v>6582</v>
      </c>
      <c r="C12" s="79"/>
      <c r="D12" s="8">
        <f>SUM(D2:D11)</f>
        <v>862308</v>
      </c>
      <c r="E12" s="8">
        <f>SUM(E2:E11)</f>
        <v>1</v>
      </c>
      <c r="F12" s="7">
        <f>SUM(F2:F11)</f>
        <v>6582</v>
      </c>
      <c r="G12" s="84">
        <f>SUM(G2:G11)</f>
        <v>228.20588578847963</v>
      </c>
    </row>
    <row r="16" spans="1:7" x14ac:dyDescent="0.25">
      <c r="A16" s="61" t="s">
        <v>73</v>
      </c>
      <c r="B16" s="61"/>
      <c r="C16" s="8" t="s">
        <v>74</v>
      </c>
    </row>
    <row r="17" spans="1:3" x14ac:dyDescent="0.25">
      <c r="A17" s="5">
        <v>0.999</v>
      </c>
      <c r="B17" s="5">
        <f>_xlfn.CHISQ.INV(A17,9)</f>
        <v>27.877164871256362</v>
      </c>
      <c r="C17" s="5" t="s">
        <v>75</v>
      </c>
    </row>
    <row r="18" spans="1:3" x14ac:dyDescent="0.25">
      <c r="A18" s="5">
        <v>0.99</v>
      </c>
      <c r="B18" s="5">
        <f t="shared" ref="B18:B19" si="3">_xlfn.CHISQ.INV(A18,9)</f>
        <v>21.66599433346191</v>
      </c>
      <c r="C18" s="5" t="s">
        <v>75</v>
      </c>
    </row>
    <row r="19" spans="1:3" x14ac:dyDescent="0.25">
      <c r="A19" s="5">
        <v>0.95</v>
      </c>
      <c r="B19" s="5">
        <f t="shared" si="3"/>
        <v>16.918977604620448</v>
      </c>
      <c r="C19" s="5" t="s">
        <v>75</v>
      </c>
    </row>
  </sheetData>
  <mergeCells count="13">
    <mergeCell ref="A16:B16"/>
    <mergeCell ref="B8:C8"/>
    <mergeCell ref="B9:C9"/>
    <mergeCell ref="B10:C10"/>
    <mergeCell ref="B11:C11"/>
    <mergeCell ref="B1:C1"/>
    <mergeCell ref="B12:C12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2.1.1|2.1.2</vt:lpstr>
      <vt:lpstr>2.1.3</vt:lpstr>
      <vt:lpstr>2.2</vt:lpstr>
      <vt:lpstr>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2020-11-01T16:14:05Z</dcterms:modified>
</cp:coreProperties>
</file>