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45" windowHeight="17655" firstSheet="1" activeTab="4"/>
  </bookViews>
  <sheets>
    <sheet name="Mw-bearing velocity and density" sheetId="1" r:id="rId1"/>
    <sheet name="Table 2 (V0 to V)" sheetId="2" r:id="rId2"/>
    <sheet name="phase" sheetId="3" r:id="rId3"/>
    <sheet name="density of Fe0.6Mg0.4O" sheetId="4" r:id="rId4"/>
    <sheet name="density of Fe0.8Mg0.2O" sheetId="5" r:id="rId5"/>
    <sheet name="Mw-free velocity and density" sheetId="6" r:id="rId6"/>
    <sheet name="Table 7 (V0 to V)" sheetId="7" r:id="rId7"/>
  </sheets>
  <externalReferences>
    <externalReference r:id="rId8"/>
  </externalReferences>
  <definedNames>
    <definedName name="X">'[1]Fe8'!$G$1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<sst xmlns="http://schemas.openxmlformats.org/spreadsheetml/2006/main" count="202" uniqueCount="78">
  <si>
    <t>Enter the pressure and temperature into the red cell, and copy the corresponding calculated V0/V from Table 2 into the green cell. The density and velocity will be displayed in the yellow cell. (V0/V can also be calculated like Table 4 &amp; 5)</t>
  </si>
  <si>
    <t>Ol</t>
  </si>
  <si>
    <t>Opx</t>
  </si>
  <si>
    <t>Cpx</t>
  </si>
  <si>
    <t>Py</t>
  </si>
  <si>
    <t>Alm</t>
  </si>
  <si>
    <t>Mw</t>
  </si>
  <si>
    <t>Bulk</t>
  </si>
  <si>
    <r>
      <rPr>
        <sz val="11"/>
        <color theme="1"/>
        <rFont val="Times New Roman"/>
        <charset val="134"/>
      </rPr>
      <t>ρ</t>
    </r>
    <r>
      <rPr>
        <vertAlign val="subscript"/>
        <sz val="11"/>
        <color theme="1"/>
        <rFont val="Times New Roman"/>
        <charset val="134"/>
      </rPr>
      <t>0</t>
    </r>
  </si>
  <si>
    <t>ρ</t>
  </si>
  <si>
    <t>P (GPa)</t>
  </si>
  <si>
    <t>α(T)</t>
  </si>
  <si>
    <r>
      <rPr>
        <sz val="11"/>
        <color theme="1"/>
        <rFont val="Times New Roman"/>
        <charset val="134"/>
      </rPr>
      <t>α</t>
    </r>
    <r>
      <rPr>
        <sz val="8"/>
        <color theme="1"/>
        <rFont val="Times New Roman"/>
        <charset val="134"/>
      </rPr>
      <t>1</t>
    </r>
  </si>
  <si>
    <t>T (K)</t>
  </si>
  <si>
    <t>Φ</t>
  </si>
  <si>
    <r>
      <rPr>
        <sz val="11"/>
        <color theme="1"/>
        <rFont val="Times New Roman"/>
        <charset val="134"/>
      </rPr>
      <t>α</t>
    </r>
    <r>
      <rPr>
        <sz val="8"/>
        <color theme="1"/>
        <rFont val="Times New Roman"/>
        <charset val="134"/>
      </rPr>
      <t>n</t>
    </r>
  </si>
  <si>
    <t>ρ(T)</t>
  </si>
  <si>
    <r>
      <rPr>
        <sz val="11"/>
        <color theme="1"/>
        <rFont val="Times New Roman"/>
        <charset val="134"/>
      </rPr>
      <t>A</t>
    </r>
    <r>
      <rPr>
        <sz val="8"/>
        <color theme="1"/>
        <rFont val="Times New Roman"/>
        <charset val="134"/>
      </rPr>
      <t>1</t>
    </r>
  </si>
  <si>
    <t>f</t>
  </si>
  <si>
    <r>
      <rPr>
        <sz val="11"/>
        <color theme="1"/>
        <rFont val="Times New Roman"/>
        <charset val="134"/>
      </rPr>
      <t>A</t>
    </r>
    <r>
      <rPr>
        <sz val="8"/>
        <color theme="1"/>
        <rFont val="Times New Roman"/>
        <charset val="134"/>
      </rPr>
      <t>n</t>
    </r>
  </si>
  <si>
    <t>ρ(P)</t>
  </si>
  <si>
    <t>K</t>
  </si>
  <si>
    <r>
      <rPr>
        <sz val="11"/>
        <color theme="1"/>
        <rFont val="Times New Roman"/>
        <charset val="134"/>
      </rPr>
      <t>ρ</t>
    </r>
    <r>
      <rPr>
        <vertAlign val="subscript"/>
        <sz val="11"/>
        <color theme="1"/>
        <rFont val="Times New Roman"/>
        <charset val="134"/>
      </rPr>
      <t>HPT</t>
    </r>
  </si>
  <si>
    <r>
      <rPr>
        <sz val="11"/>
        <color theme="1"/>
        <rFont val="Times New Roman"/>
        <charset val="134"/>
      </rPr>
      <t>β</t>
    </r>
    <r>
      <rPr>
        <sz val="8"/>
        <color theme="1"/>
        <rFont val="Times New Roman"/>
        <charset val="134"/>
      </rPr>
      <t>1</t>
    </r>
  </si>
  <si>
    <r>
      <rPr>
        <sz val="11"/>
        <color theme="1"/>
        <rFont val="Times New Roman"/>
        <charset val="134"/>
      </rPr>
      <t>K</t>
    </r>
    <r>
      <rPr>
        <sz val="7.5"/>
        <color theme="1"/>
        <rFont val="Times New Roman"/>
        <charset val="134"/>
      </rPr>
      <t>S</t>
    </r>
  </si>
  <si>
    <r>
      <rPr>
        <sz val="11"/>
        <color theme="1"/>
        <rFont val="Times New Roman"/>
        <charset val="134"/>
      </rPr>
      <t>β</t>
    </r>
    <r>
      <rPr>
        <sz val="8"/>
        <color theme="1"/>
        <rFont val="Times New Roman"/>
        <charset val="134"/>
      </rPr>
      <t>n</t>
    </r>
  </si>
  <si>
    <r>
      <rPr>
        <sz val="11"/>
        <color theme="1"/>
        <rFont val="Times New Roman"/>
        <charset val="134"/>
      </rPr>
      <t>K'</t>
    </r>
    <r>
      <rPr>
        <sz val="7.5"/>
        <color theme="1"/>
        <rFont val="Times New Roman"/>
        <charset val="134"/>
      </rPr>
      <t>S</t>
    </r>
  </si>
  <si>
    <t>/</t>
  </si>
  <si>
    <r>
      <rPr>
        <sz val="11"/>
        <color theme="1"/>
        <rFont val="Times New Roman"/>
        <charset val="134"/>
      </rPr>
      <t>B</t>
    </r>
    <r>
      <rPr>
        <sz val="8"/>
        <color theme="1"/>
        <rFont val="Times New Roman"/>
        <charset val="134"/>
      </rPr>
      <t>1</t>
    </r>
  </si>
  <si>
    <r>
      <rPr>
        <sz val="11"/>
        <color theme="1"/>
        <rFont val="Times New Roman"/>
        <charset val="134"/>
      </rPr>
      <t>G</t>
    </r>
    <r>
      <rPr>
        <sz val="7.5"/>
        <color theme="1"/>
        <rFont val="Times New Roman"/>
        <charset val="134"/>
      </rPr>
      <t>0</t>
    </r>
  </si>
  <si>
    <r>
      <rPr>
        <sz val="11"/>
        <color theme="1"/>
        <rFont val="Times New Roman"/>
        <charset val="134"/>
      </rPr>
      <t>B</t>
    </r>
    <r>
      <rPr>
        <sz val="8"/>
        <color theme="1"/>
        <rFont val="Times New Roman"/>
        <charset val="134"/>
      </rPr>
      <t>n</t>
    </r>
  </si>
  <si>
    <r>
      <rPr>
        <sz val="11"/>
        <color theme="1"/>
        <rFont val="Times New Roman"/>
        <charset val="134"/>
      </rPr>
      <t>G'</t>
    </r>
    <r>
      <rPr>
        <sz val="7.5"/>
        <color theme="1"/>
        <rFont val="Times New Roman"/>
        <charset val="134"/>
      </rPr>
      <t>0</t>
    </r>
  </si>
  <si>
    <t>G</t>
  </si>
  <si>
    <t>γth</t>
  </si>
  <si>
    <t>Vp</t>
  </si>
  <si>
    <t>Vs</t>
  </si>
  <si>
    <r>
      <rPr>
        <sz val="11"/>
        <color theme="1"/>
        <rFont val="Times New Roman"/>
        <charset val="134"/>
      </rPr>
      <t>δ</t>
    </r>
    <r>
      <rPr>
        <sz val="7.5"/>
        <color theme="1"/>
        <rFont val="Times New Roman"/>
        <charset val="134"/>
      </rPr>
      <t>T</t>
    </r>
  </si>
  <si>
    <t>∂K/∂T</t>
  </si>
  <si>
    <t>KT0</t>
  </si>
  <si>
    <t>K'T0</t>
  </si>
  <si>
    <r>
      <rPr>
        <sz val="11"/>
        <color theme="1"/>
        <rFont val="Times New Roman"/>
        <charset val="134"/>
      </rPr>
      <t>K</t>
    </r>
    <r>
      <rPr>
        <sz val="7.5"/>
        <color theme="1"/>
        <rFont val="Times New Roman"/>
        <charset val="134"/>
      </rPr>
      <t>T</t>
    </r>
    <r>
      <rPr>
        <sz val="11"/>
        <color theme="1"/>
        <rFont val="Times New Roman"/>
        <charset val="134"/>
      </rPr>
      <t>(T)</t>
    </r>
  </si>
  <si>
    <r>
      <rPr>
        <sz val="11"/>
        <color theme="1"/>
        <rFont val="Times New Roman"/>
        <charset val="134"/>
      </rPr>
      <t>K</t>
    </r>
    <r>
      <rPr>
        <sz val="7.5"/>
        <color theme="1"/>
        <rFont val="Times New Roman"/>
        <charset val="134"/>
      </rPr>
      <t>T</t>
    </r>
    <r>
      <rPr>
        <sz val="11"/>
        <color theme="1"/>
        <rFont val="Times New Roman"/>
        <charset val="134"/>
      </rPr>
      <t>(T, P)</t>
    </r>
  </si>
  <si>
    <t>G(T)</t>
  </si>
  <si>
    <t>G(T, P)</t>
  </si>
  <si>
    <t>V0/V</t>
  </si>
  <si>
    <t>vol%</t>
  </si>
  <si>
    <t>wt%</t>
  </si>
  <si>
    <t>T (℃)</t>
  </si>
  <si>
    <t>deepth (km)</t>
  </si>
  <si>
    <t>grt poor</t>
  </si>
  <si>
    <t>grt rich</t>
  </si>
  <si>
    <r>
      <rPr>
        <sz val="11"/>
        <color theme="1"/>
        <rFont val="Times New Roman"/>
        <charset val="134"/>
      </rPr>
      <t>* grt = Py</t>
    </r>
    <r>
      <rPr>
        <sz val="6"/>
        <color theme="1"/>
        <rFont val="Times New Roman"/>
        <charset val="134"/>
      </rPr>
      <t>78</t>
    </r>
    <r>
      <rPr>
        <sz val="11"/>
        <color theme="1"/>
        <rFont val="Times New Roman"/>
        <charset val="134"/>
      </rPr>
      <t>Alm</t>
    </r>
    <r>
      <rPr>
        <sz val="6"/>
        <color theme="1"/>
        <rFont val="Times New Roman"/>
        <charset val="134"/>
      </rPr>
      <t>22</t>
    </r>
  </si>
  <si>
    <t>In the What-If Analysis section of the Data tab, the red cell is set as the target cell with a target value of pressure value, and the yellow cell is set as the variable cell. After running the analysis, the density is obtained in the green cell.</t>
  </si>
  <si>
    <r>
      <rPr>
        <sz val="11"/>
        <color theme="1"/>
        <rFont val="Times New Roman"/>
        <charset val="134"/>
      </rPr>
      <t>α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T</t>
    </r>
    <r>
      <rPr>
        <sz val="11"/>
        <color theme="1"/>
        <rFont val="宋体"/>
        <charset val="134"/>
      </rPr>
      <t>）</t>
    </r>
  </si>
  <si>
    <t>α in high T</t>
  </si>
  <si>
    <t>Holland et al. 2004</t>
  </si>
  <si>
    <t>P(d)</t>
  </si>
  <si>
    <t>elevated temperature</t>
  </si>
  <si>
    <t>Katsura et al. 2019</t>
  </si>
  <si>
    <r>
      <rPr>
        <sz val="11"/>
        <color theme="1"/>
        <rFont val="Times New Roman"/>
        <charset val="134"/>
      </rPr>
      <t>ρ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T</t>
    </r>
    <r>
      <rPr>
        <sz val="11"/>
        <color theme="1"/>
        <rFont val="宋体"/>
        <charset val="134"/>
      </rPr>
      <t>）</t>
    </r>
  </si>
  <si>
    <t>ρ in high T</t>
  </si>
  <si>
    <r>
      <rPr>
        <sz val="11"/>
        <color theme="1"/>
        <rFont val="Times New Roman"/>
        <charset val="134"/>
      </rPr>
      <t>ρ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P</t>
    </r>
    <r>
      <rPr>
        <sz val="11"/>
        <color theme="1"/>
        <rFont val="宋体"/>
        <charset val="134"/>
      </rPr>
      <t>）</t>
    </r>
  </si>
  <si>
    <t>ρ in high P</t>
  </si>
  <si>
    <t>α°</t>
  </si>
  <si>
    <t>Thermal expansion</t>
  </si>
  <si>
    <t>2013 Ab-initio determination of high-pressure and high-temperature thermoelastic andthermodynamic properties of low-spin (Mg1–xFex)O ferropericlase with x in the range [0.06, 0.59]</t>
  </si>
  <si>
    <t>elevated pressure</t>
  </si>
  <si>
    <t>P</t>
  </si>
  <si>
    <t>normal density</t>
  </si>
  <si>
    <t>2002 Structure and elasticity of single-crystal (Mg,Fe)O and a new method of generating shear waves for gigahertz ultrasonic interferometry</t>
  </si>
  <si>
    <t>ρ in high PT</t>
  </si>
  <si>
    <t>2004 Subduction Factory 3: An Excel worksheet and macro for calculating the densities, seismic wave speeds, and H2 O contents of minerals and rocks at pressure and temperature</t>
  </si>
  <si>
    <t>finite strain</t>
  </si>
  <si>
    <t>sothermal bulk modulus</t>
  </si>
  <si>
    <t>derivatived KT0</t>
  </si>
  <si>
    <t>2015 Thermal equation of state and stability of (Mg 0.06 Fe0.94 )O</t>
  </si>
  <si>
    <t>2017 Sound velocity and density of magnesiowüstites: Implications for ultralow-velocity zone topography</t>
  </si>
  <si>
    <t>Enter the pressure and temperature into the red cell, and copy the corresponding calculated V0/V from Table 7 into the green cell. The density and velocity will be displayed in the yellow cell. (V0/V can also be calculated like Table 4 &amp; 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</si>
</sst>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rgb="FF060607"/>
      <name val="Times New Roman"/>
      <charset val="134"/>
    </font>
    <font>
      <sz val="11"/>
      <name val="Times New Roman"/>
      <charset val="134"/>
    </font>
    <font>
      <sz val="11"/>
      <color theme="8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theme="1"/>
      <name val="Times New Roman"/>
      <charset val="134"/>
    </font>
    <font>
      <sz val="8"/>
      <color theme="1"/>
      <name val="Times New Roman"/>
      <charset val="134"/>
    </font>
    <font>
      <sz val="7.5"/>
      <color theme="1"/>
      <name val="Times New Roman"/>
      <charset val="134"/>
    </font>
    <font>
      <sz val="11"/>
      <color theme="1"/>
      <name val="宋体"/>
      <charset val="134"/>
    </font>
    <font>
      <sz val="6"/>
      <color theme="1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 applyProtection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center"/>
    </xf>
    <xf numFmtId="0" fontId="3" fillId="4" borderId="0" xfId="0" applyFont="1" applyFill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xqz18\Desktop\softwear%20and%20model\G3%20density%20calculation\WM%20EOS%20&#22791;&#20221;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8"/>
      <sheetName val="Fe6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W39"/>
  <sheetViews>
    <sheetView zoomScale="160" zoomScaleNormal="160" workbookViewId="0">
      <selection activeCell="I26" sqref="I26"/>
    </sheetView>
  </sheetViews>
  <sheetFormatPr defaultColWidth="9" defaultRowHeight="15"/>
  <cols>
    <col min="2" max="8" width="11.125"/>
    <col min="9" max="9" width="12"/>
    <col min="10" max="10" width="11.125"/>
    <col min="11" max="11" width="10.375" style="8"/>
    <col min="12" max="12" width="10.375"/>
  </cols>
  <sheetData>
    <row r="1" spans="1:23">
      <c r="A1" s="12" t="s">
        <v>0</v>
      </c>
      <c r="O1" s="2"/>
      <c r="P1" s="2"/>
      <c r="Q1" s="2"/>
      <c r="R1" s="1"/>
      <c r="S1" s="1"/>
      <c r="T1" s="1"/>
      <c r="U1" s="1"/>
      <c r="V1" s="1"/>
      <c r="W1" s="1"/>
    </row>
    <row r="2" spans="1:23">
      <c r="A2" s="8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1" t="s">
        <v>6</v>
      </c>
      <c r="H2" s="8"/>
      <c r="I2" s="8" t="s">
        <v>7</v>
      </c>
      <c r="J2" s="8"/>
      <c r="O2" s="2"/>
      <c r="P2" s="2"/>
      <c r="Q2" s="2"/>
      <c r="R2" s="1"/>
      <c r="S2" s="1"/>
      <c r="T2" s="1"/>
      <c r="U2" s="1"/>
      <c r="V2" s="1"/>
      <c r="W2" s="1"/>
    </row>
    <row r="3" ht="18.75" spans="1:23">
      <c r="A3" s="8" t="s">
        <v>8</v>
      </c>
      <c r="B3" s="21">
        <v>3.34</v>
      </c>
      <c r="C3" s="8">
        <v>3.281</v>
      </c>
      <c r="D3" s="8">
        <v>3.308</v>
      </c>
      <c r="E3" s="21">
        <v>3.56</v>
      </c>
      <c r="F3" s="8">
        <v>4.318</v>
      </c>
      <c r="G3" s="1">
        <v>4.927</v>
      </c>
      <c r="H3" s="8" t="s">
        <v>9</v>
      </c>
      <c r="I3" s="8">
        <f>(B25*B9+C25*C9+D25*D9+E25*E9+F25*F9+G25*G9)</f>
        <v>3.65321564496373</v>
      </c>
      <c r="J3" s="8" t="s">
        <v>10</v>
      </c>
      <c r="K3" s="15">
        <v>4.5646763</v>
      </c>
      <c r="L3" s="1"/>
      <c r="O3" s="2"/>
      <c r="P3" s="2"/>
      <c r="Q3" s="2"/>
      <c r="R3" s="1"/>
      <c r="S3" s="1"/>
      <c r="T3" s="1"/>
      <c r="U3" s="1"/>
      <c r="V3" s="1"/>
      <c r="W3" s="1"/>
    </row>
    <row r="4" spans="1:23">
      <c r="A4" s="8" t="s">
        <v>11</v>
      </c>
      <c r="B4" s="8">
        <f>0.0000303+((7.42*10^(-9))*K4)</f>
        <v>4.5376327e-5</v>
      </c>
      <c r="C4" s="8">
        <f>0.0000297+((5.7*10^(-9))*K4)</f>
        <v>4.1281545e-5</v>
      </c>
      <c r="D4" s="8">
        <f>0.000019+((2.08*10^(-9))*K4)</f>
        <v>2.3226248e-5</v>
      </c>
      <c r="E4" s="8">
        <f>0.0000248+((8.8*10^(-9))*K4)</f>
        <v>4.268028e-5</v>
      </c>
      <c r="F4" s="8">
        <f>0.000026+((2.3*10^(-9))*K4)</f>
        <v>3.0673255e-5</v>
      </c>
      <c r="G4" s="1">
        <v>1.97e-5</v>
      </c>
      <c r="H4" s="8" t="s">
        <v>12</v>
      </c>
      <c r="I4" s="8">
        <f>-3/(3*MIN(B10:G10)+4*MIN(B22:G22))</f>
        <v>-0.00621519521792135</v>
      </c>
      <c r="J4" s="8" t="s">
        <v>13</v>
      </c>
      <c r="K4" s="22">
        <v>2031.85</v>
      </c>
      <c r="O4" s="2"/>
      <c r="P4" s="2"/>
      <c r="Q4" s="2"/>
      <c r="R4" s="1"/>
      <c r="S4" s="1"/>
      <c r="T4" s="1"/>
      <c r="U4" s="1"/>
      <c r="V4" s="1"/>
      <c r="W4" s="1"/>
    </row>
    <row r="5" spans="1:23">
      <c r="A5" s="8" t="s">
        <v>14</v>
      </c>
      <c r="B5" s="8">
        <f>0.0000303*((K4-298)-20*(K4^0.5-298^0.5))</f>
        <v>0.0356807525663575</v>
      </c>
      <c r="C5" s="8">
        <f>0.0000297*((K4-298)-20*(K4^0.5-298^0.5))</f>
        <v>0.034974203010588</v>
      </c>
      <c r="D5" s="8">
        <f>0.000019*((K4-298)-20*(K4^0.5-298^0.5))</f>
        <v>0.0223740692660328</v>
      </c>
      <c r="E5" s="8">
        <f>0.0000248*((K4-298)-20*(K4^0.5-298^0.5))</f>
        <v>0.0292040483051375</v>
      </c>
      <c r="F5" s="8">
        <f>0.000026*((K4-298)-20*(K4^0.5-298^0.5))</f>
        <v>0.0306171474166764</v>
      </c>
      <c r="G5" s="1">
        <f>G4*((K4-298)-20*(K4^0.5-298^0.5))</f>
        <v>0.0231983770810971</v>
      </c>
      <c r="H5" s="8" t="s">
        <v>15</v>
      </c>
      <c r="I5" s="8">
        <f>-3/(3*MAX(B10:G10)+4*MAX(B22:G22))</f>
        <v>-0.00286936734819356</v>
      </c>
      <c r="J5" s="8"/>
      <c r="O5" s="2"/>
      <c r="P5" s="2"/>
      <c r="Q5" s="2"/>
      <c r="R5" s="1"/>
      <c r="S5" s="1"/>
      <c r="T5" s="1"/>
      <c r="U5" s="1"/>
      <c r="V5" s="1"/>
      <c r="W5" s="1"/>
    </row>
    <row r="6" spans="1:23">
      <c r="A6" s="8" t="s">
        <v>16</v>
      </c>
      <c r="B6" s="8">
        <f t="shared" ref="B6:G6" si="0">B3*2.71828^(-B5)</f>
        <v>3.22292740464321</v>
      </c>
      <c r="C6" s="8">
        <f t="shared" si="0"/>
        <v>3.16823317509687</v>
      </c>
      <c r="D6" s="8">
        <f t="shared" si="0"/>
        <v>3.23480847747043</v>
      </c>
      <c r="E6" s="8">
        <f t="shared" si="0"/>
        <v>3.45753710486586</v>
      </c>
      <c r="F6" s="8">
        <f t="shared" si="0"/>
        <v>4.1877986133969</v>
      </c>
      <c r="G6" s="1">
        <f t="shared" si="0"/>
        <v>4.81401724726568</v>
      </c>
      <c r="H6" s="8" t="s">
        <v>17</v>
      </c>
      <c r="I6" s="8">
        <f>B25/(1/(B10-C10)-I4)+D25/(1/(D10-C10)-I4)+E25/(1/(E10-C10)-I4)+F25/(1/(F10-C10)-I4)+G25/(1/(G10-C10)-I4)</f>
        <v>24.5185266226249</v>
      </c>
      <c r="J6" s="8"/>
      <c r="O6" s="2"/>
      <c r="P6" s="2"/>
      <c r="Q6" s="2"/>
      <c r="R6" s="1"/>
      <c r="S6" s="1"/>
      <c r="T6" s="1"/>
      <c r="U6" s="1"/>
      <c r="V6" s="1"/>
      <c r="W6" s="1"/>
    </row>
    <row r="7" spans="1:23">
      <c r="A7" s="8" t="s">
        <v>18</v>
      </c>
      <c r="B7" s="8">
        <f t="shared" ref="B7:G7" si="1">0.5*(B24^(2/3)-1)</f>
        <v>0.0126256909708957</v>
      </c>
      <c r="C7" s="8">
        <f t="shared" si="1"/>
        <v>0.0141156814212264</v>
      </c>
      <c r="D7" s="8">
        <f t="shared" si="1"/>
        <v>0.0127543231418957</v>
      </c>
      <c r="E7" s="8">
        <f t="shared" si="1"/>
        <v>0.00939534308908641</v>
      </c>
      <c r="F7" s="8">
        <f t="shared" si="1"/>
        <v>0.00895926521879487</v>
      </c>
      <c r="G7" s="1">
        <f t="shared" si="1"/>
        <v>0.00669691345164236</v>
      </c>
      <c r="H7" s="8" t="s">
        <v>19</v>
      </c>
      <c r="I7" s="8">
        <f>B25/(1/(B10-G10)-I5)+C25/(1/(C10-G10)-I5)+D25/(1/(D10-G10)-I5)+E25/(1/(E10-G10)-I5)+F25/(1/(F10-G10)-I5)</f>
        <v>-130.314551750641</v>
      </c>
      <c r="J7" s="8"/>
      <c r="O7" s="2"/>
      <c r="P7" s="2"/>
      <c r="Q7" s="2"/>
      <c r="R7" s="11"/>
      <c r="S7" s="11"/>
      <c r="T7" s="11"/>
      <c r="U7" s="11"/>
      <c r="V7" s="11"/>
      <c r="W7" s="11"/>
    </row>
    <row r="8" spans="1:23">
      <c r="A8" s="8" t="s">
        <v>20</v>
      </c>
      <c r="B8" s="8">
        <f t="shared" ref="B8:G8" si="2">B3*(1+2*B7)^(3/2)</f>
        <v>3.46730472829885</v>
      </c>
      <c r="C8" s="8">
        <f t="shared" si="2"/>
        <v>3.42091670734571</v>
      </c>
      <c r="D8" s="8">
        <f t="shared" si="2"/>
        <v>3.4353776858158</v>
      </c>
      <c r="E8" s="8">
        <f t="shared" si="2"/>
        <v>3.66081217325305</v>
      </c>
      <c r="F8" s="8">
        <f t="shared" si="2"/>
        <v>4.43457667799025</v>
      </c>
      <c r="G8" s="1">
        <f t="shared" si="2"/>
        <v>5.02631779546041</v>
      </c>
      <c r="H8" s="8" t="s">
        <v>21</v>
      </c>
      <c r="I8" s="8">
        <f>(C10+(I6/(1+I4*I6))+G10+(I7/(1+I5*I7)))/2</f>
        <v>139.224400460979</v>
      </c>
      <c r="J8" s="8"/>
      <c r="O8" s="2"/>
      <c r="P8" s="2"/>
      <c r="Q8" s="2"/>
      <c r="R8" s="11"/>
      <c r="S8" s="11"/>
      <c r="T8" s="11"/>
      <c r="U8" s="11"/>
      <c r="V8" s="11"/>
      <c r="W8" s="11"/>
    </row>
    <row r="9" ht="18.75" spans="1:23">
      <c r="A9" s="8" t="s">
        <v>22</v>
      </c>
      <c r="B9" s="8">
        <f>B8/B3*B6</f>
        <v>3.34576988894711</v>
      </c>
      <c r="C9" s="8">
        <f>C6*C8/C3</f>
        <v>3.30334099404323</v>
      </c>
      <c r="D9" s="8">
        <f t="shared" ref="D9:G9" si="3">D8*D6/D3</f>
        <v>3.35936785410813</v>
      </c>
      <c r="E9" s="8">
        <f>E6*E8/E3</f>
        <v>3.55544773117052</v>
      </c>
      <c r="F9" s="8">
        <f t="shared" si="3"/>
        <v>4.30086013503701</v>
      </c>
      <c r="G9" s="1">
        <f t="shared" si="3"/>
        <v>4.91105755177284</v>
      </c>
      <c r="H9" s="8" t="s">
        <v>23</v>
      </c>
      <c r="I9" s="8">
        <f>I4*(C10+2*G22)/5/G22</f>
        <v>-0.00600708923418711</v>
      </c>
      <c r="J9" s="8"/>
      <c r="O9" s="2"/>
      <c r="P9" s="2"/>
      <c r="Q9" s="2"/>
      <c r="R9" s="11"/>
      <c r="S9" s="11"/>
      <c r="T9" s="11"/>
      <c r="U9" s="11"/>
      <c r="V9" s="11"/>
      <c r="W9" s="11"/>
    </row>
    <row r="10" spans="1:23">
      <c r="A10" s="8" t="s">
        <v>24</v>
      </c>
      <c r="B10" s="8">
        <v>125.13</v>
      </c>
      <c r="C10" s="8">
        <v>109.4</v>
      </c>
      <c r="D10" s="8">
        <v>116.6</v>
      </c>
      <c r="E10" s="8">
        <v>170</v>
      </c>
      <c r="F10" s="8">
        <v>174.2</v>
      </c>
      <c r="G10" s="1">
        <f>G17*(1+K4*G14*G4)</f>
        <v>234.970924983459</v>
      </c>
      <c r="H10" s="8" t="s">
        <v>25</v>
      </c>
      <c r="I10" s="8">
        <f>I5*(G10+2*E22)/5/E22</f>
        <v>-0.00273128295073536</v>
      </c>
      <c r="J10" s="8"/>
      <c r="O10" s="2"/>
      <c r="P10" s="2"/>
      <c r="Q10" s="2"/>
      <c r="R10" s="1"/>
      <c r="S10" s="1"/>
      <c r="T10" s="1"/>
      <c r="U10" s="1"/>
      <c r="V10" s="1"/>
      <c r="W10" s="1"/>
    </row>
    <row r="11" spans="1:23">
      <c r="A11" s="8" t="s">
        <v>26</v>
      </c>
      <c r="B11" s="8">
        <v>5.4</v>
      </c>
      <c r="C11" s="8">
        <v>10.8</v>
      </c>
      <c r="D11" s="8">
        <v>5</v>
      </c>
      <c r="E11" s="8">
        <v>4.51</v>
      </c>
      <c r="F11" s="8">
        <v>4.61</v>
      </c>
      <c r="G11" s="1" t="s">
        <v>27</v>
      </c>
      <c r="H11" s="8" t="s">
        <v>28</v>
      </c>
      <c r="I11" s="8">
        <f>B25/(2/(B22-G22)-I9)+C25/(2/(C22-G22)-I9)+D25/(2/(D22-G22)-I9)+E25/(2/(E22-G22)-I9)+F25/(2/(F22-G22)-I9)</f>
        <v>12.4195463795571</v>
      </c>
      <c r="J11" s="8"/>
      <c r="O11" s="2"/>
      <c r="P11" s="2"/>
      <c r="Q11" s="2"/>
      <c r="R11" s="1"/>
      <c r="S11" s="1"/>
      <c r="T11" s="1"/>
      <c r="U11" s="1"/>
      <c r="V11" s="1"/>
      <c r="W11" s="1"/>
    </row>
    <row r="12" spans="1:23">
      <c r="A12" s="8" t="s">
        <v>29</v>
      </c>
      <c r="B12" s="8">
        <v>75.43</v>
      </c>
      <c r="C12" s="8">
        <v>75.2</v>
      </c>
      <c r="D12" s="8">
        <v>60.8</v>
      </c>
      <c r="E12" s="8">
        <v>93.2</v>
      </c>
      <c r="F12" s="8">
        <v>94.9</v>
      </c>
      <c r="G12" s="1">
        <v>42.87</v>
      </c>
      <c r="H12" s="8" t="s">
        <v>30</v>
      </c>
      <c r="I12" s="8">
        <f>B25/(2/(B22-E22)-I10)+C25/(2/(C22-E22)-I10)+D25/(2/(D22-E22)-I10)+F25/(2/(F22-E22)-I10)+G25/(2/(G22-E22)-I10)</f>
        <v>-9.96303814114943</v>
      </c>
      <c r="J12" s="8"/>
      <c r="O12" s="2"/>
      <c r="P12" s="2"/>
      <c r="Q12" s="2"/>
      <c r="R12" s="1"/>
      <c r="S12" s="1"/>
      <c r="T12" s="1"/>
      <c r="U12" s="1"/>
      <c r="V12" s="1"/>
      <c r="W12" s="1"/>
    </row>
    <row r="13" spans="1:23">
      <c r="A13" s="8" t="s">
        <v>31</v>
      </c>
      <c r="B13" s="8">
        <v>1.61</v>
      </c>
      <c r="C13" s="8">
        <v>2.06</v>
      </c>
      <c r="D13" s="8">
        <v>1.72</v>
      </c>
      <c r="E13" s="8">
        <v>1.51</v>
      </c>
      <c r="F13" s="8">
        <v>1.06</v>
      </c>
      <c r="G13" s="1" t="s">
        <v>27</v>
      </c>
      <c r="H13" s="8" t="s">
        <v>32</v>
      </c>
      <c r="I13" s="8">
        <f>(G22+(I11/(1+I9*I11)/2)+E22+(I12/(1+I10*I12)/2))/2</f>
        <v>62.8181557777776</v>
      </c>
      <c r="J13" s="8"/>
      <c r="O13" s="2"/>
      <c r="P13" s="2"/>
      <c r="Q13" s="2"/>
      <c r="R13" s="1"/>
      <c r="S13" s="1"/>
      <c r="T13" s="1"/>
      <c r="U13" s="1"/>
      <c r="V13" s="1"/>
      <c r="W13" s="1"/>
    </row>
    <row r="14" spans="1:23">
      <c r="A14" s="8" t="s">
        <v>33</v>
      </c>
      <c r="B14" s="8">
        <v>1.14</v>
      </c>
      <c r="C14" s="8">
        <v>1.05</v>
      </c>
      <c r="D14" s="8">
        <v>0.867</v>
      </c>
      <c r="E14" s="8">
        <v>1.15</v>
      </c>
      <c r="F14" s="8">
        <v>1.16</v>
      </c>
      <c r="G14" s="1">
        <v>1.728</v>
      </c>
      <c r="H14" s="8" t="s">
        <v>34</v>
      </c>
      <c r="I14" s="8" t="s">
        <v>35</v>
      </c>
      <c r="J14" s="8" t="s">
        <v>9</v>
      </c>
      <c r="O14" s="2"/>
      <c r="P14" s="2"/>
      <c r="Q14" s="2"/>
      <c r="R14" s="1"/>
      <c r="S14" s="1"/>
      <c r="T14" s="1"/>
      <c r="U14" s="1"/>
      <c r="V14" s="1"/>
      <c r="W14" s="1"/>
    </row>
    <row r="15" spans="1:23">
      <c r="A15" s="8" t="s">
        <v>36</v>
      </c>
      <c r="B15" s="8">
        <f t="shared" ref="B15:G15" si="4">B14+B18</f>
        <v>6.37812406530392</v>
      </c>
      <c r="C15" s="8">
        <f t="shared" si="4"/>
        <v>7.65</v>
      </c>
      <c r="D15" s="8">
        <f t="shared" si="4"/>
        <v>5.85176120844571</v>
      </c>
      <c r="E15" s="8">
        <f t="shared" si="4"/>
        <v>5.48467713234444</v>
      </c>
      <c r="F15" s="8">
        <f t="shared" si="4"/>
        <v>5.82044329578075</v>
      </c>
      <c r="G15" s="1">
        <f t="shared" si="4"/>
        <v>5.932</v>
      </c>
      <c r="H15" s="6">
        <f>((I8+I13*4/3)/I3)^0.5</f>
        <v>7.81262882865364</v>
      </c>
      <c r="I15" s="6">
        <f>(I13/I3)^0.5</f>
        <v>4.14672215106371</v>
      </c>
      <c r="J15" s="6">
        <f>I3</f>
        <v>3.65321564496373</v>
      </c>
      <c r="O15" s="2"/>
      <c r="P15" s="2"/>
      <c r="Q15" s="2"/>
      <c r="R15" s="1"/>
      <c r="S15" s="1"/>
      <c r="T15" s="1"/>
      <c r="U15" s="1"/>
      <c r="V15" s="1"/>
      <c r="W15" s="1"/>
    </row>
    <row r="16" spans="1:23">
      <c r="A16" s="8" t="s">
        <v>37</v>
      </c>
      <c r="B16" s="8">
        <v>-0.019</v>
      </c>
      <c r="C16" s="8">
        <v>-0.0263</v>
      </c>
      <c r="D16" s="8">
        <v>-0.012</v>
      </c>
      <c r="E16" s="8">
        <v>-0.017</v>
      </c>
      <c r="F16" s="8">
        <v>-0.0267</v>
      </c>
      <c r="G16" s="1" t="s">
        <v>27</v>
      </c>
      <c r="H16" s="8"/>
      <c r="I16" s="8"/>
      <c r="J16" s="8"/>
      <c r="O16" s="2"/>
      <c r="P16" s="2"/>
      <c r="Q16" s="2"/>
      <c r="R16" s="1"/>
      <c r="S16" s="1"/>
      <c r="T16" s="1"/>
      <c r="U16" s="1"/>
      <c r="V16" s="1"/>
      <c r="W16" s="1"/>
    </row>
    <row r="17" spans="1:23">
      <c r="A17" s="8" t="s">
        <v>38</v>
      </c>
      <c r="B17" s="8">
        <f>B10/(1+B4*B14*K4)</f>
        <v>113.228998757681</v>
      </c>
      <c r="C17" s="8">
        <f>C10/(1+C4*C14*K4)</f>
        <v>100.54483513104</v>
      </c>
      <c r="D17" s="8">
        <f>D10/(1+D4*D14*K4)</f>
        <v>112.016757900954</v>
      </c>
      <c r="E17" s="8">
        <f>E10/(1+E4*E14*K4)</f>
        <v>154.583690687041</v>
      </c>
      <c r="F17" s="8">
        <f>F10/(1+F4*F14*K4)</f>
        <v>162.455263324296</v>
      </c>
      <c r="G17" s="1">
        <v>219.77</v>
      </c>
      <c r="H17" s="8"/>
      <c r="I17" s="8"/>
      <c r="J17" s="8"/>
      <c r="O17" s="2"/>
      <c r="P17" s="2"/>
      <c r="Q17" s="2"/>
      <c r="R17" s="1"/>
      <c r="S17" s="1"/>
      <c r="T17" s="1"/>
      <c r="U17" s="1"/>
      <c r="V17" s="1"/>
      <c r="W17" s="1"/>
    </row>
    <row r="18" spans="1:10">
      <c r="A18" s="8" t="s">
        <v>39</v>
      </c>
      <c r="B18" s="8">
        <f>(B11-(B14*K4/B17)*B16)/(1+B4*B14*K4)</f>
        <v>5.23812406530392</v>
      </c>
      <c r="C18" s="8">
        <v>6.6</v>
      </c>
      <c r="D18" s="8">
        <f>(D11-(D14*K4/D17)*D16)/(1+D4*D14*K4)</f>
        <v>4.98476120844571</v>
      </c>
      <c r="E18" s="8">
        <f>(E11-(E14*K4/E17)*E16)/(1+E4*E14*K4)</f>
        <v>4.33467713234444</v>
      </c>
      <c r="F18" s="8">
        <f>(F11-(F14*K4/F17)*F16)/(1+F4*F14*K4)</f>
        <v>4.66044329578075</v>
      </c>
      <c r="G18" s="1">
        <v>4.204</v>
      </c>
      <c r="H18" s="8"/>
      <c r="I18" s="8"/>
      <c r="J18" s="8"/>
    </row>
    <row r="19" spans="1:10">
      <c r="A19" s="8" t="s">
        <v>40</v>
      </c>
      <c r="B19" s="8">
        <f>B17*(2.71828^(-B15*B5))</f>
        <v>90.1825718989142</v>
      </c>
      <c r="C19" s="8">
        <f t="shared" ref="B19:G19" si="5">C17*(2.71828^(-C15*C5))</f>
        <v>76.9419526341502</v>
      </c>
      <c r="D19" s="8">
        <f t="shared" si="5"/>
        <v>98.2702033509779</v>
      </c>
      <c r="E19" s="8">
        <f t="shared" si="5"/>
        <v>131.704525296942</v>
      </c>
      <c r="F19" s="8">
        <f t="shared" si="5"/>
        <v>135.937797624247</v>
      </c>
      <c r="G19" s="1">
        <f t="shared" si="5"/>
        <v>191.515522860371</v>
      </c>
      <c r="H19" s="8"/>
      <c r="I19" s="8"/>
      <c r="J19" s="8"/>
    </row>
    <row r="20" spans="1:10">
      <c r="A20" s="8" t="s">
        <v>41</v>
      </c>
      <c r="B20" s="8">
        <f>B19*(1-B7*(5-3*B18))*((1+2*B7)^2.5)</f>
        <v>108.968285228458</v>
      </c>
      <c r="C20" s="8">
        <f t="shared" ref="B20:G20" si="6">C19*(1-C7*(5-3*C18))*((1+2*C7)^2.5)</f>
        <v>99.7206358173427</v>
      </c>
      <c r="D20" s="8">
        <f t="shared" si="6"/>
        <v>117.944781459426</v>
      </c>
      <c r="E20" s="8">
        <f t="shared" si="6"/>
        <v>148.3551472123</v>
      </c>
      <c r="F20" s="8">
        <f t="shared" si="6"/>
        <v>153.544382612476</v>
      </c>
      <c r="G20" s="1">
        <f t="shared" si="6"/>
        <v>208.085965212919</v>
      </c>
      <c r="H20" s="8"/>
      <c r="I20" s="8"/>
      <c r="J20" s="8"/>
    </row>
    <row r="21" spans="1:10">
      <c r="A21" s="8" t="s">
        <v>42</v>
      </c>
      <c r="B21" s="8">
        <f>B12*2.71828^(-B15*B5)</f>
        <v>60.0771133982461</v>
      </c>
      <c r="C21" s="8">
        <f t="shared" ref="B21:G21" si="7">C12*2.71828^(-C15*C5)</f>
        <v>57.5468131261754</v>
      </c>
      <c r="D21" s="8">
        <f t="shared" si="7"/>
        <v>53.3387010631252</v>
      </c>
      <c r="E21" s="8">
        <f t="shared" si="7"/>
        <v>79.4059302318368</v>
      </c>
      <c r="F21" s="8">
        <f t="shared" si="7"/>
        <v>79.4095354657044</v>
      </c>
      <c r="G21" s="1">
        <f t="shared" si="7"/>
        <v>37.3584677846116</v>
      </c>
      <c r="H21" s="8"/>
      <c r="I21" s="8"/>
      <c r="J21" s="8"/>
    </row>
    <row r="22" spans="1:10">
      <c r="A22" s="8" t="s">
        <v>43</v>
      </c>
      <c r="B22" s="8">
        <f>B21*((1+2*B7)^2.5)*(1-B7*(5-3*B13*B19/B21))</f>
        <v>65.7585682332461</v>
      </c>
      <c r="C22" s="8">
        <f>C21*((1+2*C7)^2.5)*(1-C7*(5-3*C13*C19/C21))</f>
        <v>64.5362831246459</v>
      </c>
      <c r="D22" s="8">
        <f>D21*((1+2*D7)^2.5)*(1-D7*(5-3*D13*D19/D21))</f>
        <v>60.0707147143623</v>
      </c>
      <c r="E22" s="8">
        <f>E21*((1+2*E7)^2.5)*(1-E7*(5-3*E13*E19/E21))</f>
        <v>85.1534660461099</v>
      </c>
      <c r="F22" s="8">
        <f>F21*((1+2*F7)^2.5)*(1-F7*(5-3*F13*F19/F21))</f>
        <v>83.3447460603791</v>
      </c>
      <c r="G22" s="1">
        <f>G21*((1+2*G7)^2.5)</f>
        <v>38.6219939926256</v>
      </c>
      <c r="H22" s="8"/>
      <c r="I22" s="8"/>
      <c r="J22" s="8"/>
    </row>
    <row r="23" spans="1:10">
      <c r="A23" s="8" t="s">
        <v>10</v>
      </c>
      <c r="B23" s="8">
        <f>1.5*B17*(B24^(7/3)-B24^(5/3))</f>
        <v>4.5646763</v>
      </c>
      <c r="C23" s="8">
        <f t="shared" ref="B23:G23" si="8">1.5*C17*(C24^(7/3)-C24^(5/3))</f>
        <v>4.56467630000004</v>
      </c>
      <c r="D23" s="8">
        <f t="shared" si="8"/>
        <v>4.56467630000001</v>
      </c>
      <c r="E23" s="8">
        <f t="shared" si="8"/>
        <v>4.56467630000002</v>
      </c>
      <c r="F23" s="8">
        <f t="shared" si="8"/>
        <v>4.56467629999999</v>
      </c>
      <c r="G23" s="1">
        <f t="shared" si="8"/>
        <v>4.56467629999999</v>
      </c>
      <c r="H23" s="8"/>
      <c r="I23" s="8"/>
      <c r="J23" s="8"/>
    </row>
    <row r="24" spans="1:10">
      <c r="A24" s="1" t="s">
        <v>44</v>
      </c>
      <c r="B24" s="7">
        <v>1.03811518811343</v>
      </c>
      <c r="C24" s="7">
        <v>1.04264453134584</v>
      </c>
      <c r="D24" s="7">
        <v>1.03850595097213</v>
      </c>
      <c r="E24" s="7">
        <v>1.02831802619468</v>
      </c>
      <c r="F24" s="7">
        <v>1.02699784112789</v>
      </c>
      <c r="G24" s="7">
        <v>1.0201578639051</v>
      </c>
      <c r="H24" s="8"/>
      <c r="I24" s="8"/>
      <c r="J24" s="8"/>
    </row>
    <row r="25" spans="1:10">
      <c r="A25" s="8" t="s">
        <v>45</v>
      </c>
      <c r="B25" s="8">
        <f>(B28/B9)/(B28/B9+C28/C9+D28/D9+E28/E9+F28/F9+G28/G9)</f>
        <v>0.157232287436338</v>
      </c>
      <c r="C25" s="8">
        <f>(C28/C9)/(B28/B9+C28/C9+D28/D9+E28/E9+F28/F9+G28/G9)</f>
        <v>0.406976863657406</v>
      </c>
      <c r="D25" s="8">
        <f>(D28/D9)/(B28/B9+C28/C9+D28/D9+E28/E9+F28/F9+G28/G9)</f>
        <v>0.0260993077527697</v>
      </c>
      <c r="E25" s="8">
        <f>(E28/E9)/(B28/B9+C28/C9+D28/D9+E28/E9+F28/F9+G28/G9)</f>
        <v>0.211582400443071</v>
      </c>
      <c r="F25" s="8">
        <f>(F28/F9)/(B28/B9+C28/C9+D28/D9+E28/E9+F28/F9+G28/G9)</f>
        <v>0.0493340304026576</v>
      </c>
      <c r="G25" s="1">
        <f>(G28/G9)/(B28/B9+C28/C9+D28/D9+E28/E9+F28/F9+G28/G9)</f>
        <v>0.148775110307757</v>
      </c>
      <c r="H25" s="8"/>
      <c r="I25" s="8"/>
      <c r="J25" s="8"/>
    </row>
    <row r="26" spans="1:10">
      <c r="A26" s="8" t="s">
        <v>34</v>
      </c>
      <c r="B26" s="8">
        <f>(((B10+(4/3)*B22)/B9)^0.5)</f>
        <v>7.97528173260573</v>
      </c>
      <c r="C26" s="8">
        <f t="shared" ref="B26:G26" si="9">(((C10+(4/3)*C22)/C9)^0.5)</f>
        <v>7.69200098702731</v>
      </c>
      <c r="D26" s="8">
        <f t="shared" si="9"/>
        <v>7.65186133301316</v>
      </c>
      <c r="E26" s="8">
        <f t="shared" si="9"/>
        <v>8.93014379267057</v>
      </c>
      <c r="F26" s="8">
        <f t="shared" si="9"/>
        <v>8.14504079777451</v>
      </c>
      <c r="G26" s="1">
        <f t="shared" si="9"/>
        <v>7.63747365643692</v>
      </c>
      <c r="H26" s="8"/>
      <c r="I26" s="8"/>
      <c r="J26" s="8"/>
    </row>
    <row r="27" spans="1:10">
      <c r="A27" s="8" t="s">
        <v>35</v>
      </c>
      <c r="B27" s="8">
        <f>(B22/B9)^0.5</f>
        <v>4.43331040544618</v>
      </c>
      <c r="C27" s="8">
        <f t="shared" ref="B27:G27" si="10">(C22/C9)^0.5</f>
        <v>4.42003055063904</v>
      </c>
      <c r="D27" s="8">
        <f t="shared" si="10"/>
        <v>4.2286585478725</v>
      </c>
      <c r="E27" s="8">
        <f t="shared" si="10"/>
        <v>4.8938878846977</v>
      </c>
      <c r="F27" s="8">
        <f t="shared" si="10"/>
        <v>4.40211571300591</v>
      </c>
      <c r="G27" s="1">
        <f t="shared" si="10"/>
        <v>2.80433462474908</v>
      </c>
      <c r="H27" s="8"/>
      <c r="I27" s="8"/>
      <c r="J27" s="8"/>
    </row>
    <row r="28" spans="1:10">
      <c r="A28" s="8" t="s">
        <v>46</v>
      </c>
      <c r="B28" s="8">
        <v>14.4</v>
      </c>
      <c r="C28" s="8">
        <v>36.8</v>
      </c>
      <c r="D28" s="8">
        <v>2.4</v>
      </c>
      <c r="E28" s="8">
        <v>20.592</v>
      </c>
      <c r="F28" s="8">
        <v>5.808</v>
      </c>
      <c r="G28" s="1">
        <v>20</v>
      </c>
      <c r="H28" s="8"/>
      <c r="I28" s="8"/>
      <c r="J28" s="8"/>
    </row>
    <row r="29" spans="1:10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>
      <c r="A30" s="8"/>
      <c r="B30" s="1">
        <v>45.6</v>
      </c>
      <c r="C30" s="1">
        <v>14.4</v>
      </c>
      <c r="D30" s="1">
        <v>12</v>
      </c>
      <c r="E30" s="1">
        <v>6.24</v>
      </c>
      <c r="F30" s="1">
        <v>1.76</v>
      </c>
      <c r="G30" s="1">
        <v>20</v>
      </c>
      <c r="H30" s="8"/>
      <c r="I30" s="8"/>
      <c r="J30" s="8"/>
    </row>
    <row r="31" spans="2:10">
      <c r="B31" s="8">
        <v>14.4</v>
      </c>
      <c r="C31" s="8">
        <v>36.8</v>
      </c>
      <c r="D31" s="8">
        <v>2.4</v>
      </c>
      <c r="E31" s="8">
        <v>20.592</v>
      </c>
      <c r="F31" s="8">
        <v>5.808</v>
      </c>
      <c r="G31" s="1">
        <v>20</v>
      </c>
      <c r="I31" s="8"/>
      <c r="J31" s="8"/>
    </row>
    <row r="32" spans="1:10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2:7">
      <c r="B34" s="8"/>
      <c r="C34" s="8"/>
      <c r="D34" s="8"/>
      <c r="E34" s="8"/>
      <c r="F34" s="8"/>
      <c r="G34" s="8"/>
    </row>
    <row r="35" spans="2:7">
      <c r="B35" s="8"/>
      <c r="C35" s="8"/>
      <c r="D35" s="8"/>
      <c r="E35" s="8"/>
      <c r="F35" s="8"/>
      <c r="G35" s="8"/>
    </row>
    <row r="36" spans="2:7">
      <c r="B36" s="8"/>
      <c r="C36" s="8"/>
      <c r="D36" s="8"/>
      <c r="E36" s="8"/>
      <c r="F36" s="8"/>
      <c r="G36" s="8"/>
    </row>
    <row r="37" spans="2:7">
      <c r="B37" s="8"/>
      <c r="C37" s="8"/>
      <c r="D37" s="8"/>
      <c r="E37" s="8"/>
      <c r="F37" s="8"/>
      <c r="G37" s="8"/>
    </row>
    <row r="38" spans="2:7">
      <c r="B38" s="8"/>
      <c r="C38" s="8"/>
      <c r="D38" s="8"/>
      <c r="E38" s="8"/>
      <c r="F38" s="8"/>
      <c r="G38" s="8"/>
    </row>
    <row r="39" spans="2:7">
      <c r="B39" s="8"/>
      <c r="C39" s="8"/>
      <c r="D39" s="8"/>
      <c r="E39" s="8"/>
      <c r="F39" s="8"/>
      <c r="G39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19"/>
  <sheetViews>
    <sheetView zoomScale="190" zoomScaleNormal="190" workbookViewId="0">
      <selection activeCell="B17" sqref="B17:C17"/>
    </sheetView>
  </sheetViews>
  <sheetFormatPr defaultColWidth="9" defaultRowHeight="15"/>
  <cols>
    <col min="1" max="2" width="9" style="8"/>
    <col min="3" max="3" width="9.25" style="8"/>
    <col min="4" max="4" width="9" style="8"/>
    <col min="5" max="10" width="11.125" style="8"/>
    <col min="11" max="16384" width="9" style="8"/>
  </cols>
  <sheetData>
    <row r="1" spans="1:10">
      <c r="A1" s="2" t="s">
        <v>47</v>
      </c>
      <c r="B1" s="2" t="s">
        <v>13</v>
      </c>
      <c r="C1" s="2" t="s">
        <v>10</v>
      </c>
      <c r="D1" s="2" t="s">
        <v>48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2">
        <v>1676.35</v>
      </c>
      <c r="B2" s="2">
        <f t="shared" ref="B2:B17" si="0">A2+273</f>
        <v>1949.35</v>
      </c>
      <c r="C2" s="2">
        <v>4.3663088</v>
      </c>
      <c r="D2" s="2">
        <v>1257</v>
      </c>
      <c r="E2" s="1">
        <v>1.03636496138076</v>
      </c>
      <c r="F2" s="1">
        <v>1.04073300144854</v>
      </c>
      <c r="G2" s="1">
        <v>1.03685147559292</v>
      </c>
      <c r="H2" s="1">
        <v>1.02699945234408</v>
      </c>
      <c r="I2" s="1">
        <v>1.0257890462011</v>
      </c>
      <c r="J2" s="1">
        <v>1.01930602343588</v>
      </c>
    </row>
    <row r="3" spans="1:10">
      <c r="A3" s="2">
        <v>1681.85</v>
      </c>
      <c r="B3" s="2">
        <f t="shared" si="0"/>
        <v>1954.85</v>
      </c>
      <c r="C3" s="2">
        <v>4.3816641</v>
      </c>
      <c r="D3" s="2">
        <v>1267</v>
      </c>
      <c r="E3" s="1">
        <v>1.03649815440776</v>
      </c>
      <c r="F3" s="1">
        <v>1.04087897835033</v>
      </c>
      <c r="G3" s="1">
        <v>1.03697886920311</v>
      </c>
      <c r="H3" s="1">
        <v>1.02709970462425</v>
      </c>
      <c r="I3" s="1">
        <v>1.02588164173588</v>
      </c>
      <c r="J3" s="1">
        <v>1.01937203743826</v>
      </c>
    </row>
    <row r="4" spans="1:10">
      <c r="A4" s="2">
        <v>1687.35</v>
      </c>
      <c r="B4" s="2">
        <f t="shared" si="0"/>
        <v>1960.35</v>
      </c>
      <c r="C4" s="2">
        <v>4.396715</v>
      </c>
      <c r="D4" s="2">
        <v>1277</v>
      </c>
      <c r="E4" s="1">
        <v>1.03662898815206</v>
      </c>
      <c r="F4" s="1">
        <v>1.04102230284221</v>
      </c>
      <c r="G4" s="1">
        <v>1.03710381412469</v>
      </c>
      <c r="H4" s="1">
        <v>1.02719819445503</v>
      </c>
      <c r="I4" s="1">
        <v>1.02597252081628</v>
      </c>
      <c r="J4" s="1">
        <v>1.01943673064861</v>
      </c>
    </row>
    <row r="5" spans="1:10">
      <c r="A5" s="2">
        <v>1692.85</v>
      </c>
      <c r="B5" s="2">
        <f t="shared" si="0"/>
        <v>1965.85</v>
      </c>
      <c r="C5" s="2">
        <v>4.4114615</v>
      </c>
      <c r="D5" s="2">
        <v>1287</v>
      </c>
      <c r="E5" s="1">
        <v>1.03675746289414</v>
      </c>
      <c r="F5" s="1">
        <v>1.04116297594807</v>
      </c>
      <c r="G5" s="1">
        <v>1.03722631201537</v>
      </c>
      <c r="H5" s="1">
        <v>1.02729492159522</v>
      </c>
      <c r="I5" s="1">
        <v>1.02606168371868</v>
      </c>
      <c r="J5" s="1">
        <v>1.01950010380194</v>
      </c>
    </row>
    <row r="6" spans="1:10">
      <c r="A6" s="2">
        <v>1698.35</v>
      </c>
      <c r="B6" s="2">
        <f t="shared" si="0"/>
        <v>1971.35</v>
      </c>
      <c r="C6" s="2">
        <v>4.4259036</v>
      </c>
      <c r="D6" s="2">
        <v>1297</v>
      </c>
      <c r="E6" s="1">
        <v>1.03688357886246</v>
      </c>
      <c r="F6" s="1">
        <v>1.04130099862952</v>
      </c>
      <c r="G6" s="1">
        <v>1.03734636448302</v>
      </c>
      <c r="H6" s="1">
        <v>1.027389885772</v>
      </c>
      <c r="I6" s="1">
        <v>1.02614913069331</v>
      </c>
      <c r="J6" s="1">
        <v>1.01956215761831</v>
      </c>
    </row>
    <row r="7" spans="1:10">
      <c r="A7" s="2">
        <v>1703.85</v>
      </c>
      <c r="B7" s="2">
        <f t="shared" si="0"/>
        <v>1976.85</v>
      </c>
      <c r="C7" s="2">
        <v>4.4400413</v>
      </c>
      <c r="D7" s="2">
        <v>1307</v>
      </c>
      <c r="E7" s="1">
        <v>1.03700733623271</v>
      </c>
      <c r="F7" s="1">
        <v>1.04143637178413</v>
      </c>
      <c r="G7" s="1">
        <v>1.03746397308263</v>
      </c>
      <c r="H7" s="1">
        <v>1.02748308668061</v>
      </c>
      <c r="I7" s="1">
        <v>1.02623486196374</v>
      </c>
      <c r="J7" s="1">
        <v>1.01962289280234</v>
      </c>
    </row>
    <row r="8" spans="1:10">
      <c r="A8" s="2">
        <v>1709.35</v>
      </c>
      <c r="B8" s="2">
        <f t="shared" si="0"/>
        <v>1982.35</v>
      </c>
      <c r="C8" s="2">
        <v>4.4538746</v>
      </c>
      <c r="D8" s="2">
        <v>1317</v>
      </c>
      <c r="E8" s="1">
        <v>1.03712873512789</v>
      </c>
      <c r="F8" s="1">
        <v>1.04156909624561</v>
      </c>
      <c r="G8" s="1">
        <v>1.03757913931651</v>
      </c>
      <c r="H8" s="1">
        <v>1.02757452398443</v>
      </c>
      <c r="I8" s="1">
        <v>1.0263188777269</v>
      </c>
      <c r="J8" s="1">
        <v>1.01968231004323</v>
      </c>
    </row>
    <row r="9" spans="1:10">
      <c r="A9" s="2">
        <v>1714.85</v>
      </c>
      <c r="B9" s="2">
        <f t="shared" si="0"/>
        <v>1987.85</v>
      </c>
      <c r="C9" s="2">
        <v>4.4674035</v>
      </c>
      <c r="D9" s="2">
        <v>1327</v>
      </c>
      <c r="E9" s="1">
        <v>1.03724777561839</v>
      </c>
      <c r="F9" s="1">
        <v>1.04169917278396</v>
      </c>
      <c r="G9" s="1">
        <v>1.03769186463447</v>
      </c>
      <c r="H9" s="1">
        <v>1.02766419731498</v>
      </c>
      <c r="I9" s="1">
        <v>1.02640117815317</v>
      </c>
      <c r="J9" s="1">
        <v>1.0197404100148</v>
      </c>
    </row>
    <row r="10" spans="1:10">
      <c r="A10" s="2">
        <v>1720.35</v>
      </c>
      <c r="B10" s="2">
        <f t="shared" si="0"/>
        <v>1993.35</v>
      </c>
      <c r="C10" s="2">
        <v>4.480628</v>
      </c>
      <c r="D10" s="2">
        <v>1337</v>
      </c>
      <c r="E10" s="1">
        <v>1.03736445772205</v>
      </c>
      <c r="F10" s="1">
        <v>1.04182660210565</v>
      </c>
      <c r="G10" s="1">
        <v>1.03780215043392</v>
      </c>
      <c r="H10" s="1">
        <v>1.0277521062719</v>
      </c>
      <c r="I10" s="1">
        <v>1.02648176338633</v>
      </c>
      <c r="J10" s="1">
        <v>1.01979719337555</v>
      </c>
    </row>
    <row r="11" spans="1:10">
      <c r="A11" s="2">
        <v>1725.85</v>
      </c>
      <c r="B11" s="2">
        <f t="shared" si="0"/>
        <v>1998.85</v>
      </c>
      <c r="C11" s="2">
        <v>4.4935481</v>
      </c>
      <c r="D11" s="2">
        <v>1347</v>
      </c>
      <c r="E11" s="1">
        <v>1.03747878140428</v>
      </c>
      <c r="F11" s="1">
        <v>1.04195138485368</v>
      </c>
      <c r="G11" s="1">
        <v>1.03790999806012</v>
      </c>
      <c r="H11" s="1">
        <v>1.027838250423</v>
      </c>
      <c r="I11" s="1">
        <v>1.02656063354368</v>
      </c>
      <c r="J11" s="1">
        <v>1.01985266076865</v>
      </c>
    </row>
    <row r="12" spans="1:10">
      <c r="A12" s="2">
        <v>1731.35</v>
      </c>
      <c r="B12" s="2">
        <f t="shared" si="0"/>
        <v>2004.35</v>
      </c>
      <c r="C12" s="2">
        <v>4.5061638</v>
      </c>
      <c r="D12" s="2">
        <v>1357</v>
      </c>
      <c r="E12" s="1">
        <v>1.03759074657805</v>
      </c>
      <c r="F12" s="1">
        <v>1.04207352160781</v>
      </c>
      <c r="G12" s="1">
        <v>1.03801540880624</v>
      </c>
      <c r="H12" s="1">
        <v>1.02792262930425</v>
      </c>
      <c r="I12" s="1">
        <v>1.02663778871599</v>
      </c>
      <c r="J12" s="1">
        <v>1.01990681282202</v>
      </c>
    </row>
    <row r="13" spans="1:10">
      <c r="A13" s="2">
        <v>1736.85</v>
      </c>
      <c r="B13" s="2">
        <f t="shared" si="0"/>
        <v>2009.85</v>
      </c>
      <c r="C13" s="2">
        <v>4.5184751</v>
      </c>
      <c r="D13" s="2">
        <v>1367</v>
      </c>
      <c r="E13" s="1">
        <v>1.037700353104</v>
      </c>
      <c r="F13" s="1">
        <v>1.04219301288461</v>
      </c>
      <c r="G13" s="1">
        <v>1.03811838391359</v>
      </c>
      <c r="H13" s="1">
        <v>1.02800524241982</v>
      </c>
      <c r="I13" s="1">
        <v>1.02671322896757</v>
      </c>
      <c r="J13" s="1">
        <v>1.01995965014834</v>
      </c>
    </row>
    <row r="14" spans="1:10">
      <c r="A14" s="2">
        <v>1742.35</v>
      </c>
      <c r="B14" s="2">
        <f t="shared" si="0"/>
        <v>2015.35</v>
      </c>
      <c r="C14" s="2">
        <v>4.530482</v>
      </c>
      <c r="D14" s="2">
        <v>1377</v>
      </c>
      <c r="E14" s="1">
        <v>1.03780760079049</v>
      </c>
      <c r="F14" s="1">
        <v>1.04230985913761</v>
      </c>
      <c r="G14" s="1">
        <v>1.03821892457168</v>
      </c>
      <c r="H14" s="1">
        <v>1.02808608924203</v>
      </c>
      <c r="I14" s="1">
        <v>1.0267869543363</v>
      </c>
      <c r="J14" s="1">
        <v>1.02001117334508</v>
      </c>
    </row>
    <row r="15" spans="1:10">
      <c r="A15" s="2">
        <v>1747.85</v>
      </c>
      <c r="B15" s="2">
        <f t="shared" si="0"/>
        <v>2020.85</v>
      </c>
      <c r="C15" s="2">
        <v>4.5421845</v>
      </c>
      <c r="D15" s="2">
        <v>1387</v>
      </c>
      <c r="E15" s="1">
        <v>1.03791248939364</v>
      </c>
      <c r="F15" s="1">
        <v>1.04242406075741</v>
      </c>
      <c r="G15" s="1">
        <v>1.03831703191842</v>
      </c>
      <c r="H15" s="1">
        <v>1.02816516921141</v>
      </c>
      <c r="I15" s="1">
        <v>1.02685896483362</v>
      </c>
      <c r="J15" s="1">
        <v>1.02006138299454</v>
      </c>
    </row>
    <row r="16" spans="1:10">
      <c r="A16" s="2">
        <v>1753.35</v>
      </c>
      <c r="B16" s="2">
        <f t="shared" si="0"/>
        <v>2026.35</v>
      </c>
      <c r="C16" s="2">
        <v>4.5535826</v>
      </c>
      <c r="D16" s="2">
        <v>1397</v>
      </c>
      <c r="E16" s="1">
        <v>1.03801501861736</v>
      </c>
      <c r="F16" s="1">
        <v>1.04253561807181</v>
      </c>
      <c r="G16" s="1">
        <v>1.03841270704023</v>
      </c>
      <c r="H16" s="1">
        <v>1.02824248173666</v>
      </c>
      <c r="I16" s="1">
        <v>1.0269292604446</v>
      </c>
      <c r="J16" s="1">
        <v>1.02011027966386</v>
      </c>
    </row>
    <row r="17" spans="1:10">
      <c r="A17" s="2">
        <v>1758.85</v>
      </c>
      <c r="B17" s="2">
        <f t="shared" si="0"/>
        <v>2031.85</v>
      </c>
      <c r="C17" s="2">
        <v>4.5646763</v>
      </c>
      <c r="D17" s="2">
        <v>1407</v>
      </c>
      <c r="E17" s="1">
        <v>1.03811518811343</v>
      </c>
      <c r="F17" s="1">
        <v>1.04264453134584</v>
      </c>
      <c r="G17" s="1">
        <v>1.03850595097213</v>
      </c>
      <c r="H17" s="1">
        <v>1.02831802619468</v>
      </c>
      <c r="I17" s="1">
        <v>1.02699784112789</v>
      </c>
      <c r="J17" s="1">
        <v>1.0201578639051</v>
      </c>
    </row>
    <row r="19" spans="1:10">
      <c r="A19" s="8">
        <v>1700</v>
      </c>
      <c r="B19" s="8">
        <v>1973</v>
      </c>
      <c r="C19" s="8">
        <v>4.5</v>
      </c>
      <c r="D19" s="8" t="s">
        <v>27</v>
      </c>
      <c r="E19" s="1">
        <v>1.03747296383905</v>
      </c>
      <c r="F19" s="1">
        <v>1.04195637420512</v>
      </c>
      <c r="G19" s="1">
        <v>1.0379404607315</v>
      </c>
      <c r="H19" s="1">
        <v>1.02783329904088</v>
      </c>
      <c r="I19" s="1">
        <v>1.02657215554887</v>
      </c>
      <c r="J19" s="1">
        <v>1.01988035617161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G12"/>
  <sheetViews>
    <sheetView zoomScale="295" zoomScaleNormal="295" workbookViewId="0">
      <selection activeCell="A7" sqref="A2:E2 A7:E7"/>
    </sheetView>
  </sheetViews>
  <sheetFormatPr defaultColWidth="9" defaultRowHeight="13.5" outlineLevelCol="6"/>
  <sheetData>
    <row r="1" ht="15" spans="1:7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1" t="s">
        <v>6</v>
      </c>
      <c r="G1" s="20"/>
    </row>
    <row r="2" ht="15" spans="1:7">
      <c r="A2" s="8">
        <v>57</v>
      </c>
      <c r="B2" s="8">
        <v>18</v>
      </c>
      <c r="C2" s="8">
        <v>15</v>
      </c>
      <c r="D2" s="8">
        <v>7.8</v>
      </c>
      <c r="E2" s="8">
        <v>2.2</v>
      </c>
      <c r="F2" s="1" t="s">
        <v>27</v>
      </c>
      <c r="G2" s="8" t="s">
        <v>49</v>
      </c>
    </row>
    <row r="3" ht="15" spans="1:7">
      <c r="A3" s="8">
        <v>54.15</v>
      </c>
      <c r="B3" s="8">
        <v>17.1</v>
      </c>
      <c r="C3" s="8">
        <v>14.25</v>
      </c>
      <c r="D3" s="8">
        <v>7.41</v>
      </c>
      <c r="E3" s="8">
        <v>2.09</v>
      </c>
      <c r="F3" s="8">
        <v>5</v>
      </c>
      <c r="G3" s="8"/>
    </row>
    <row r="4" ht="15" spans="1:7">
      <c r="A4" s="8">
        <v>51.3</v>
      </c>
      <c r="B4" s="8">
        <v>16.2</v>
      </c>
      <c r="C4" s="8">
        <v>13.5</v>
      </c>
      <c r="D4" s="8">
        <v>7.02</v>
      </c>
      <c r="E4" s="8">
        <v>1.98</v>
      </c>
      <c r="F4" s="8">
        <v>10</v>
      </c>
      <c r="G4" s="8"/>
    </row>
    <row r="5" ht="15" spans="1:7">
      <c r="A5" s="8">
        <v>48.45</v>
      </c>
      <c r="B5" s="8">
        <v>15.3</v>
      </c>
      <c r="C5" s="8">
        <v>12.75</v>
      </c>
      <c r="D5" s="8">
        <v>6.63</v>
      </c>
      <c r="E5" s="8">
        <v>1.87</v>
      </c>
      <c r="F5" s="8">
        <v>15</v>
      </c>
      <c r="G5" s="8"/>
    </row>
    <row r="6" ht="15" spans="1:7">
      <c r="A6" s="8">
        <v>45.6</v>
      </c>
      <c r="B6" s="8">
        <v>14.4</v>
      </c>
      <c r="C6" s="8">
        <v>12</v>
      </c>
      <c r="D6" s="8">
        <v>6.24</v>
      </c>
      <c r="E6" s="8">
        <v>1.76</v>
      </c>
      <c r="F6" s="8">
        <v>20</v>
      </c>
      <c r="G6" s="8"/>
    </row>
    <row r="7" ht="15" spans="1:7">
      <c r="A7" s="8">
        <v>18</v>
      </c>
      <c r="B7" s="8">
        <v>46</v>
      </c>
      <c r="C7" s="8">
        <v>3</v>
      </c>
      <c r="D7" s="8">
        <v>25.74</v>
      </c>
      <c r="E7" s="8">
        <v>7.26</v>
      </c>
      <c r="F7" s="8" t="s">
        <v>27</v>
      </c>
      <c r="G7" s="8" t="s">
        <v>50</v>
      </c>
    </row>
    <row r="8" ht="15" spans="1:7">
      <c r="A8" s="8">
        <v>17.1</v>
      </c>
      <c r="B8" s="8">
        <v>43.7</v>
      </c>
      <c r="C8" s="8">
        <v>2.85</v>
      </c>
      <c r="D8" s="8">
        <v>24.453</v>
      </c>
      <c r="E8" s="8">
        <v>6.897</v>
      </c>
      <c r="F8" s="1">
        <v>5</v>
      </c>
      <c r="G8" s="8"/>
    </row>
    <row r="9" ht="15" spans="1:7">
      <c r="A9" s="8">
        <v>16.2</v>
      </c>
      <c r="B9" s="8">
        <v>41.4</v>
      </c>
      <c r="C9" s="8">
        <v>2.7</v>
      </c>
      <c r="D9" s="8">
        <v>23.166</v>
      </c>
      <c r="E9" s="8">
        <v>6.534</v>
      </c>
      <c r="F9" s="8">
        <v>10</v>
      </c>
      <c r="G9" s="8"/>
    </row>
    <row r="10" ht="15" spans="1:7">
      <c r="A10" s="8">
        <v>15.3</v>
      </c>
      <c r="B10" s="8">
        <v>39.1</v>
      </c>
      <c r="C10" s="8">
        <v>2.55</v>
      </c>
      <c r="D10" s="8">
        <v>21.879</v>
      </c>
      <c r="E10" s="8">
        <v>6.171</v>
      </c>
      <c r="F10" s="8">
        <v>15</v>
      </c>
      <c r="G10" s="8"/>
    </row>
    <row r="11" ht="15" spans="1:7">
      <c r="A11" s="8">
        <v>14.4</v>
      </c>
      <c r="B11" s="8">
        <v>36.8</v>
      </c>
      <c r="C11" s="8">
        <v>2.4</v>
      </c>
      <c r="D11" s="8">
        <v>20.592</v>
      </c>
      <c r="E11" s="8">
        <v>5.808</v>
      </c>
      <c r="F11" s="1">
        <v>20</v>
      </c>
      <c r="G11" s="8"/>
    </row>
    <row r="12" ht="15" spans="1:1">
      <c r="A12" s="20" t="s">
        <v>51</v>
      </c>
    </row>
  </sheetData>
  <mergeCells count="2">
    <mergeCell ref="G2:G6"/>
    <mergeCell ref="G7:G1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M29"/>
  <sheetViews>
    <sheetView zoomScale="205" zoomScaleNormal="205" workbookViewId="0">
      <selection activeCell="F20" sqref="F20"/>
    </sheetView>
  </sheetViews>
  <sheetFormatPr defaultColWidth="9" defaultRowHeight="15"/>
  <cols>
    <col min="1" max="1" width="9" style="8" customWidth="1"/>
    <col min="2" max="2" width="11.125" style="8"/>
    <col min="3" max="3" width="19.5" style="8" customWidth="1"/>
    <col min="4" max="4" width="16.125" style="12" customWidth="1"/>
    <col min="5" max="6" width="9" style="8"/>
    <col min="7" max="7" width="11.125" style="8"/>
    <col min="8" max="8" width="17.625" style="8" customWidth="1"/>
    <col min="9" max="9" width="16" style="8" customWidth="1"/>
    <col min="10" max="10" width="11.25" style="8" customWidth="1"/>
    <col min="11" max="16384" width="9" style="8"/>
  </cols>
  <sheetData>
    <row r="1" spans="1:1">
      <c r="A1" s="12" t="s">
        <v>52</v>
      </c>
    </row>
    <row r="2" s="8" customFormat="1" spans="1:13">
      <c r="A2" s="8" t="s">
        <v>53</v>
      </c>
      <c r="B2" s="8">
        <f>B6*(1-10/B7^(1/2))</f>
        <v>1.53296078793843e-5</v>
      </c>
      <c r="C2" s="8" t="s">
        <v>54</v>
      </c>
      <c r="D2" s="12" t="s">
        <v>55</v>
      </c>
      <c r="E2" s="17"/>
      <c r="F2" s="8" t="s">
        <v>44</v>
      </c>
      <c r="G2" s="14">
        <v>1.01967106581391</v>
      </c>
      <c r="L2" s="4"/>
      <c r="M2" s="1"/>
    </row>
    <row r="3" s="8" customFormat="1" spans="1:13">
      <c r="A3" s="8" t="s">
        <v>14</v>
      </c>
      <c r="B3" s="8">
        <f>B6*((B7-300)-20*(B7^0.5-300^0.5))</f>
        <v>0.0231817627212755</v>
      </c>
      <c r="D3" s="12"/>
      <c r="E3" s="17"/>
      <c r="F3" s="8" t="s">
        <v>56</v>
      </c>
      <c r="G3" s="15">
        <f>(3/2)*B12*(G2^(7/3)-G2^(5/3))*(1+(3/4)*(B13-4)*(G2^(2/3)-1))</f>
        <v>4.56467630000005</v>
      </c>
      <c r="H3" s="8" t="s">
        <v>57</v>
      </c>
      <c r="I3" s="8" t="s">
        <v>58</v>
      </c>
      <c r="L3" s="4"/>
      <c r="M3" s="1"/>
    </row>
    <row r="4" s="8" customFormat="1" spans="1:4">
      <c r="A4" s="8" t="s">
        <v>59</v>
      </c>
      <c r="B4" s="8">
        <f>B9*2.71828^(-B3)</f>
        <v>4814.93752269236</v>
      </c>
      <c r="C4" s="8" t="s">
        <v>60</v>
      </c>
      <c r="D4" s="12"/>
    </row>
    <row r="5" s="8" customFormat="1" spans="1:4">
      <c r="A5" s="8" t="s">
        <v>61</v>
      </c>
      <c r="B5" s="8">
        <f>B9*(1+2*B11)^(3/2)</f>
        <v>5476.20043168826</v>
      </c>
      <c r="C5" s="8" t="s">
        <v>62</v>
      </c>
      <c r="D5" s="12"/>
    </row>
    <row r="6" s="8" customFormat="1" spans="1:4">
      <c r="A6" s="8" t="s">
        <v>63</v>
      </c>
      <c r="B6" s="1">
        <v>1.97e-5</v>
      </c>
      <c r="C6" s="8" t="s">
        <v>64</v>
      </c>
      <c r="D6" s="12" t="s">
        <v>65</v>
      </c>
    </row>
    <row r="7" s="8" customFormat="1" spans="1:4">
      <c r="A7" s="8" t="s">
        <v>13</v>
      </c>
      <c r="B7" s="1">
        <v>2031.85</v>
      </c>
      <c r="C7" s="8" t="s">
        <v>66</v>
      </c>
      <c r="D7" s="12"/>
    </row>
    <row r="8" s="8" customFormat="1" spans="1:4">
      <c r="A8" s="8" t="s">
        <v>67</v>
      </c>
      <c r="B8" s="1">
        <v>4.5646763</v>
      </c>
      <c r="C8" s="8" t="s">
        <v>57</v>
      </c>
      <c r="D8" s="12"/>
    </row>
    <row r="9" s="8" customFormat="1" ht="18.75" spans="1:4">
      <c r="A9" s="8" t="s">
        <v>8</v>
      </c>
      <c r="B9" s="1">
        <v>4927.86</v>
      </c>
      <c r="C9" s="8" t="s">
        <v>68</v>
      </c>
      <c r="D9" s="12" t="s">
        <v>69</v>
      </c>
    </row>
    <row r="10" s="8" customFormat="1" ht="18.75" spans="1:4">
      <c r="A10" s="8" t="s">
        <v>22</v>
      </c>
      <c r="B10" s="16">
        <f>(B5/B9)*B4</f>
        <v>5350.71267047358</v>
      </c>
      <c r="C10" s="8" t="s">
        <v>70</v>
      </c>
      <c r="D10" s="12" t="s">
        <v>71</v>
      </c>
    </row>
    <row r="11" s="8" customFormat="1" spans="1:4">
      <c r="A11" s="8" t="s">
        <v>18</v>
      </c>
      <c r="B11" s="8">
        <f>0.5*(G2-1)^(2/3)</f>
        <v>0.0364352649476492</v>
      </c>
      <c r="C11" s="8" t="s">
        <v>72</v>
      </c>
      <c r="D11" s="12"/>
    </row>
    <row r="12" s="8" customFormat="1" spans="1:4">
      <c r="A12" s="8" t="s">
        <v>38</v>
      </c>
      <c r="B12" s="1">
        <v>224.92</v>
      </c>
      <c r="C12" s="8" t="s">
        <v>73</v>
      </c>
      <c r="D12" s="12" t="s">
        <v>65</v>
      </c>
    </row>
    <row r="13" s="8" customFormat="1" spans="1:4">
      <c r="A13" s="8" t="s">
        <v>39</v>
      </c>
      <c r="B13" s="1">
        <v>4.204</v>
      </c>
      <c r="C13" s="8" t="s">
        <v>74</v>
      </c>
      <c r="D13" s="12" t="s">
        <v>65</v>
      </c>
    </row>
    <row r="14" s="8" customFormat="1" spans="4:4">
      <c r="D14" s="12"/>
    </row>
    <row r="15" s="8" customFormat="1" spans="4:4">
      <c r="D15" s="12"/>
    </row>
    <row r="16" s="8" customFormat="1" spans="2:4">
      <c r="B16" s="2"/>
      <c r="C16" s="2"/>
      <c r="D16" s="12"/>
    </row>
    <row r="17" s="8" customFormat="1" spans="2:4">
      <c r="B17" s="1"/>
      <c r="D17" s="12"/>
    </row>
    <row r="18" s="8" customFormat="1" spans="4:4">
      <c r="D18" s="12"/>
    </row>
    <row r="19" s="8" customFormat="1" spans="4:4">
      <c r="D19" s="12"/>
    </row>
    <row r="20" s="8" customFormat="1" spans="4:4">
      <c r="D20" s="12"/>
    </row>
    <row r="21" s="8" customFormat="1" spans="4:4">
      <c r="D21" s="12"/>
    </row>
    <row r="22" s="8" customFormat="1" spans="4:4">
      <c r="D22" s="12"/>
    </row>
    <row r="23" s="8" customFormat="1" spans="4:4">
      <c r="D23" s="12"/>
    </row>
    <row r="24" s="8" customFormat="1" spans="4:4">
      <c r="D24" s="12"/>
    </row>
    <row r="25" s="8" customFormat="1" spans="4:4">
      <c r="D25" s="12"/>
    </row>
    <row r="26" s="8" customFormat="1" spans="3:4">
      <c r="C26" s="12"/>
      <c r="D26" s="12"/>
    </row>
    <row r="27" s="8" customFormat="1" spans="4:4">
      <c r="D27" s="12"/>
    </row>
    <row r="28" s="8" customFormat="1" spans="4:4">
      <c r="D28" s="12"/>
    </row>
    <row r="29" s="8" customFormat="1" spans="4:4">
      <c r="D29" s="1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M26"/>
  <sheetViews>
    <sheetView tabSelected="1" zoomScale="220" zoomScaleNormal="220" workbookViewId="0">
      <selection activeCell="C20" sqref="C20"/>
    </sheetView>
  </sheetViews>
  <sheetFormatPr defaultColWidth="9" defaultRowHeight="15"/>
  <cols>
    <col min="1" max="1" width="9" style="8" customWidth="1"/>
    <col min="2" max="2" width="11.125" style="8"/>
    <col min="3" max="3" width="19.5" style="8" customWidth="1"/>
    <col min="4" max="4" width="16.125" style="12" customWidth="1"/>
    <col min="5" max="6" width="9" style="8"/>
    <col min="7" max="7" width="11.125" style="8"/>
    <col min="8" max="8" width="17.625" style="8" customWidth="1"/>
    <col min="9" max="9" width="16" style="8" customWidth="1"/>
    <col min="10" max="10" width="11.25" style="8" customWidth="1"/>
    <col min="11" max="16384" width="9" style="8"/>
  </cols>
  <sheetData>
    <row r="1" ht="13.5" spans="1:1">
      <c r="A1" s="13" t="s">
        <v>52</v>
      </c>
    </row>
    <row r="2" s="8" customFormat="1" spans="1:13">
      <c r="A2" s="8" t="s">
        <v>53</v>
      </c>
      <c r="B2" s="8">
        <f>B6*(1-10/B7^(1/2))</f>
        <v>1.56408689530774e-5</v>
      </c>
      <c r="C2" s="8" t="s">
        <v>54</v>
      </c>
      <c r="D2" s="12" t="s">
        <v>55</v>
      </c>
      <c r="F2" s="8" t="s">
        <v>44</v>
      </c>
      <c r="G2" s="14">
        <v>1.02153300701011</v>
      </c>
      <c r="J2" s="17"/>
      <c r="L2" s="18"/>
      <c r="M2" s="19"/>
    </row>
    <row r="3" s="8" customFormat="1" spans="1:13">
      <c r="A3" s="8" t="s">
        <v>14</v>
      </c>
      <c r="B3" s="8">
        <f>B6*((B7-300)-20*(B7^0.5-300^0.5))</f>
        <v>0.0236524584110476</v>
      </c>
      <c r="D3" s="12"/>
      <c r="F3" s="8" t="s">
        <v>67</v>
      </c>
      <c r="G3" s="15">
        <f>(3/2)*B12*(G2^(7/3)-G2^(5/3))*(1+(3/4)*(B13-4)*(G2^(2/3)-1))</f>
        <v>4.56467630000002</v>
      </c>
      <c r="H3" s="8" t="s">
        <v>57</v>
      </c>
      <c r="I3" s="8" t="s">
        <v>58</v>
      </c>
      <c r="J3" s="17"/>
      <c r="L3" s="18"/>
      <c r="M3" s="19"/>
    </row>
    <row r="4" s="8" customFormat="1" spans="1:4">
      <c r="A4" s="8" t="s">
        <v>59</v>
      </c>
      <c r="B4" s="8">
        <f>B9*2.71828^(-B3)</f>
        <v>5228.24519298687</v>
      </c>
      <c r="C4" s="8" t="s">
        <v>60</v>
      </c>
      <c r="D4" s="12"/>
    </row>
    <row r="5" s="8" customFormat="1" spans="1:4">
      <c r="A5" s="8" t="s">
        <v>61</v>
      </c>
      <c r="B5" s="8">
        <f>B9*(1+2*B11)^(3/2)</f>
        <v>5986.77647347576</v>
      </c>
      <c r="C5" s="8" t="s">
        <v>62</v>
      </c>
      <c r="D5" s="12"/>
    </row>
    <row r="6" s="8" customFormat="1" spans="1:4">
      <c r="A6" s="8" t="s">
        <v>63</v>
      </c>
      <c r="B6" s="1">
        <v>2.01e-5</v>
      </c>
      <c r="C6" s="8" t="s">
        <v>64</v>
      </c>
      <c r="D6" s="12" t="s">
        <v>75</v>
      </c>
    </row>
    <row r="7" s="8" customFormat="1" spans="1:4">
      <c r="A7" s="8" t="s">
        <v>13</v>
      </c>
      <c r="B7" s="1">
        <v>2031.85</v>
      </c>
      <c r="C7" s="8" t="s">
        <v>66</v>
      </c>
      <c r="D7" s="12"/>
    </row>
    <row r="8" s="8" customFormat="1" spans="1:4">
      <c r="A8" s="8" t="s">
        <v>67</v>
      </c>
      <c r="B8" s="1">
        <v>4.5646763</v>
      </c>
      <c r="C8" s="8" t="s">
        <v>57</v>
      </c>
      <c r="D8" s="12"/>
    </row>
    <row r="9" s="8" customFormat="1" ht="18.75" spans="1:4">
      <c r="A9" s="8" t="s">
        <v>8</v>
      </c>
      <c r="B9" s="1">
        <v>5353.38</v>
      </c>
      <c r="C9" s="8" t="s">
        <v>68</v>
      </c>
      <c r="D9" s="12" t="s">
        <v>69</v>
      </c>
    </row>
    <row r="10" s="8" customFormat="1" ht="18.75" spans="1:4">
      <c r="A10" s="8" t="s">
        <v>22</v>
      </c>
      <c r="B10" s="16">
        <f>(B5/B9)*B4</f>
        <v>5846.83607719544</v>
      </c>
      <c r="C10" s="8" t="s">
        <v>70</v>
      </c>
      <c r="D10" s="12" t="s">
        <v>71</v>
      </c>
    </row>
    <row r="11" s="8" customFormat="1" spans="1:4">
      <c r="A11" s="8" t="s">
        <v>18</v>
      </c>
      <c r="B11" s="8">
        <f>0.5*(G2-1)^(2/3)</f>
        <v>0.0386995984579482</v>
      </c>
      <c r="C11" s="8" t="s">
        <v>72</v>
      </c>
      <c r="D11" s="12"/>
    </row>
    <row r="12" s="8" customFormat="1" spans="1:4">
      <c r="A12" s="8" t="s">
        <v>38</v>
      </c>
      <c r="B12" s="1">
        <v>208</v>
      </c>
      <c r="C12" s="8" t="s">
        <v>73</v>
      </c>
      <c r="D12" s="12" t="s">
        <v>76</v>
      </c>
    </row>
    <row r="13" s="8" customFormat="1" spans="1:4">
      <c r="A13" s="8" t="s">
        <v>39</v>
      </c>
      <c r="B13" s="1">
        <v>2.799</v>
      </c>
      <c r="C13" s="8" t="s">
        <v>74</v>
      </c>
      <c r="D13" s="12" t="s">
        <v>75</v>
      </c>
    </row>
    <row r="14" s="8" customFormat="1" spans="4:4">
      <c r="D14" s="12"/>
    </row>
    <row r="15" s="8" customFormat="1" spans="2:4">
      <c r="B15" s="2"/>
      <c r="C15" s="2"/>
      <c r="D15" s="12"/>
    </row>
    <row r="16" s="8" customFormat="1" spans="2:4">
      <c r="B16" s="1"/>
      <c r="C16" s="17"/>
      <c r="D16" s="12"/>
    </row>
    <row r="17" s="8" customFormat="1" spans="2:4">
      <c r="B17" s="1"/>
      <c r="D17" s="12"/>
    </row>
    <row r="18" s="8" customFormat="1" spans="4:4">
      <c r="D18" s="12"/>
    </row>
    <row r="19" s="8" customFormat="1" spans="4:4">
      <c r="D19" s="12"/>
    </row>
    <row r="20" s="8" customFormat="1" spans="4:4">
      <c r="D20" s="12"/>
    </row>
    <row r="21" s="8" customFormat="1" spans="4:4">
      <c r="D21" s="12"/>
    </row>
    <row r="22" s="8" customFormat="1" spans="4:4">
      <c r="D22" s="12"/>
    </row>
    <row r="23" s="8" customFormat="1" spans="4:4">
      <c r="D23" s="12"/>
    </row>
    <row r="24" s="8" customFormat="1" spans="4:4">
      <c r="D24" s="12"/>
    </row>
    <row r="25" s="8" customFormat="1" spans="4:4">
      <c r="D25" s="12"/>
    </row>
    <row r="26" s="8" customFormat="1" spans="3:4">
      <c r="C26" s="12"/>
      <c r="D26" s="1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"/>
  <sheetViews>
    <sheetView zoomScale="160" zoomScaleNormal="160" topLeftCell="A2" workbookViewId="0">
      <selection activeCell="H33" sqref="H33"/>
    </sheetView>
  </sheetViews>
  <sheetFormatPr defaultColWidth="9" defaultRowHeight="13.5"/>
  <cols>
    <col min="1" max="1" width="9" style="3"/>
    <col min="2" max="8" width="11.125" style="3"/>
    <col min="9" max="9" width="12" style="3"/>
    <col min="10" max="11" width="11.125" style="3"/>
    <col min="12" max="12" width="10.375" style="3"/>
    <col min="13" max="16384" width="9" style="3"/>
  </cols>
  <sheetData>
    <row r="1" s="3" customFormat="1" ht="15" spans="1:23">
      <c r="A1" s="4" t="s">
        <v>77</v>
      </c>
      <c r="O1" s="2"/>
      <c r="P1" s="2"/>
      <c r="Q1" s="2"/>
      <c r="R1" s="1"/>
      <c r="S1" s="1"/>
      <c r="T1" s="1"/>
      <c r="U1" s="1"/>
      <c r="V1" s="1"/>
      <c r="W1" s="1"/>
    </row>
    <row r="2" s="3" customFormat="1" ht="15" spans="1:2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 t="s">
        <v>7</v>
      </c>
      <c r="J2" s="1"/>
      <c r="K2" s="1"/>
      <c r="O2" s="2"/>
      <c r="P2" s="2"/>
      <c r="Q2" s="2"/>
      <c r="R2" s="1"/>
      <c r="S2" s="1"/>
      <c r="T2" s="1"/>
      <c r="U2" s="1"/>
      <c r="V2" s="1"/>
      <c r="W2" s="1"/>
    </row>
    <row r="3" s="3" customFormat="1" ht="18.75" spans="1:23">
      <c r="A3" s="1" t="s">
        <v>8</v>
      </c>
      <c r="B3" s="5">
        <v>3.34</v>
      </c>
      <c r="C3" s="1">
        <v>3.281</v>
      </c>
      <c r="D3" s="1">
        <v>3.308</v>
      </c>
      <c r="E3" s="5">
        <v>3.56</v>
      </c>
      <c r="F3" s="1">
        <v>4.318</v>
      </c>
      <c r="G3" s="1"/>
      <c r="H3" s="1" t="s">
        <v>9</v>
      </c>
      <c r="I3" s="1">
        <f>(B25*B9+C25*C9+D25*D9+E25*E9+F25*F9)</f>
        <v>3.37200639744368</v>
      </c>
      <c r="J3" s="1" t="s">
        <v>10</v>
      </c>
      <c r="K3" s="9">
        <v>4.5646763</v>
      </c>
      <c r="L3" s="1"/>
      <c r="O3" s="2"/>
      <c r="P3" s="2"/>
      <c r="Q3" s="2"/>
      <c r="R3" s="1"/>
      <c r="S3" s="1"/>
      <c r="T3" s="1"/>
      <c r="U3" s="1"/>
      <c r="V3" s="1"/>
      <c r="W3" s="1"/>
    </row>
    <row r="4" s="3" customFormat="1" ht="15" spans="1:23">
      <c r="A4" s="1" t="s">
        <v>11</v>
      </c>
      <c r="B4" s="1">
        <f>0.0000303+((7.42*10^(-9))*K4)</f>
        <v>4.5376327e-5</v>
      </c>
      <c r="C4" s="1">
        <f>0.0000297+((5.7*10^(-9))*K4)</f>
        <v>4.1281545e-5</v>
      </c>
      <c r="D4" s="1">
        <f>0.000019+((2.08*10^(-9))*K4)</f>
        <v>2.3226248e-5</v>
      </c>
      <c r="E4" s="1">
        <f>0.0000248+((8.8*10^(-9))*K4)</f>
        <v>4.268028e-5</v>
      </c>
      <c r="F4" s="1">
        <f>0.000026+((2.3*10^(-9))*K4)</f>
        <v>3.0673255e-5</v>
      </c>
      <c r="G4" s="1"/>
      <c r="H4" s="1" t="s">
        <v>12</v>
      </c>
      <c r="I4" s="1">
        <f>-3/(3*MIN(B10:F10)+4*MIN(B22:F22))</f>
        <v>-0.00527720397063418</v>
      </c>
      <c r="J4" s="1" t="s">
        <v>13</v>
      </c>
      <c r="K4" s="10">
        <v>2031.85</v>
      </c>
      <c r="O4" s="2"/>
      <c r="P4" s="2"/>
      <c r="Q4" s="2"/>
      <c r="R4" s="1"/>
      <c r="S4" s="1"/>
      <c r="T4" s="1"/>
      <c r="U4" s="1"/>
      <c r="V4" s="1"/>
      <c r="W4" s="1"/>
    </row>
    <row r="5" s="3" customFormat="1" ht="15" spans="1:23">
      <c r="A5" s="1" t="s">
        <v>14</v>
      </c>
      <c r="B5" s="1">
        <f>0.0000303*((K4-298)-20*(K4^0.5-298^0.5))</f>
        <v>0.0356807525663575</v>
      </c>
      <c r="C5" s="1">
        <f>0.0000297*((K4-298)-20*(K4^0.5-298^0.5))</f>
        <v>0.034974203010588</v>
      </c>
      <c r="D5" s="1">
        <f>0.000019*((K4-298)-20*(K4^0.5-298^0.5))</f>
        <v>0.0223740692660328</v>
      </c>
      <c r="E5" s="1">
        <f>0.0000248*((K4-298)-20*(K4^0.5-298^0.5))</f>
        <v>0.0292040483051375</v>
      </c>
      <c r="F5" s="1">
        <f>0.000026*((K4-298)-20*(K4^0.5-298^0.5))</f>
        <v>0.0306171474166764</v>
      </c>
      <c r="G5" s="1"/>
      <c r="H5" s="1" t="s">
        <v>15</v>
      </c>
      <c r="I5" s="1">
        <f>-3/(3*MAX(B10:F10)+4*MAX(B22:F22))</f>
        <v>-0.00347538440295371</v>
      </c>
      <c r="J5" s="1"/>
      <c r="K5" s="1"/>
      <c r="O5" s="2"/>
      <c r="P5" s="2"/>
      <c r="Q5" s="2"/>
      <c r="R5" s="1"/>
      <c r="S5" s="1"/>
      <c r="T5" s="1"/>
      <c r="U5" s="1"/>
      <c r="V5" s="1"/>
      <c r="W5" s="1"/>
    </row>
    <row r="6" s="3" customFormat="1" ht="15" spans="1:23">
      <c r="A6" s="1" t="s">
        <v>16</v>
      </c>
      <c r="B6" s="1">
        <f t="shared" ref="B6:G6" si="0">B3*2.71828^(-B5)</f>
        <v>3.22292740464321</v>
      </c>
      <c r="C6" s="1">
        <f t="shared" si="0"/>
        <v>3.16823317509687</v>
      </c>
      <c r="D6" s="1">
        <f t="shared" si="0"/>
        <v>3.23480847747043</v>
      </c>
      <c r="E6" s="1">
        <f t="shared" si="0"/>
        <v>3.45753710486586</v>
      </c>
      <c r="F6" s="1">
        <f t="shared" si="0"/>
        <v>4.1877986133969</v>
      </c>
      <c r="G6" s="1"/>
      <c r="H6" s="1" t="s">
        <v>17</v>
      </c>
      <c r="I6" s="1">
        <f>B25/(1/(B10-C10)-I4)+D25/(1/(D10-C10)-I4)+E25/(1/(E10-C10)-I4)+F25/(1/(F10-C10)-I4)</f>
        <v>13.617736556783</v>
      </c>
      <c r="J6" s="1"/>
      <c r="K6" s="1"/>
      <c r="O6" s="2"/>
      <c r="P6" s="2"/>
      <c r="Q6" s="2"/>
      <c r="R6" s="1"/>
      <c r="S6" s="1"/>
      <c r="T6" s="1"/>
      <c r="U6" s="1"/>
      <c r="V6" s="1"/>
      <c r="W6" s="1"/>
    </row>
    <row r="7" s="3" customFormat="1" ht="15" spans="1:23">
      <c r="A7" s="1" t="s">
        <v>18</v>
      </c>
      <c r="B7" s="1">
        <f t="shared" ref="B7:G7" si="1">0.5*(B24^(2/3)-1)</f>
        <v>0.0126256909708957</v>
      </c>
      <c r="C7" s="1">
        <f t="shared" si="1"/>
        <v>0.0141156814212264</v>
      </c>
      <c r="D7" s="1">
        <f t="shared" si="1"/>
        <v>0.0127543231418957</v>
      </c>
      <c r="E7" s="1">
        <f t="shared" si="1"/>
        <v>0.00939534308908641</v>
      </c>
      <c r="F7" s="1">
        <f t="shared" si="1"/>
        <v>0.00895926521879487</v>
      </c>
      <c r="G7" s="1"/>
      <c r="H7" s="1" t="s">
        <v>19</v>
      </c>
      <c r="I7" s="1">
        <f>B25/(1/(B10-F10)-I5)+C25/(1/(C10-F10)-I5)+D25/(1/(D10-F10)-I5)+E25/(1/(E10-F10)-I5)</f>
        <v>-60.5105536202802</v>
      </c>
      <c r="J7" s="1"/>
      <c r="K7" s="1"/>
      <c r="O7" s="2"/>
      <c r="P7" s="2"/>
      <c r="Q7" s="2"/>
      <c r="R7" s="11"/>
      <c r="S7" s="11"/>
      <c r="T7" s="11"/>
      <c r="U7" s="11"/>
      <c r="V7" s="11"/>
      <c r="W7" s="11"/>
    </row>
    <row r="8" s="3" customFormat="1" ht="15" spans="1:23">
      <c r="A8" s="1" t="s">
        <v>20</v>
      </c>
      <c r="B8" s="1">
        <f t="shared" ref="B8:G8" si="2">B3*(1+2*B7)^(3/2)</f>
        <v>3.46730472829885</v>
      </c>
      <c r="C8" s="1">
        <f t="shared" si="2"/>
        <v>3.42091670734571</v>
      </c>
      <c r="D8" s="1">
        <f t="shared" si="2"/>
        <v>3.4353776858158</v>
      </c>
      <c r="E8" s="1">
        <f t="shared" si="2"/>
        <v>3.66081217325305</v>
      </c>
      <c r="F8" s="1">
        <f t="shared" si="2"/>
        <v>4.43457667799025</v>
      </c>
      <c r="G8" s="1"/>
      <c r="H8" s="1" t="s">
        <v>21</v>
      </c>
      <c r="I8" s="1">
        <f>(C10+(I6/(1+I4*I6))+F10+(I7/(1+I5*I7)))/2</f>
        <v>124.137847953837</v>
      </c>
      <c r="J8" s="1"/>
      <c r="K8" s="1"/>
      <c r="O8" s="2"/>
      <c r="P8" s="2"/>
      <c r="Q8" s="2"/>
      <c r="R8" s="11"/>
      <c r="S8" s="11"/>
      <c r="T8" s="11"/>
      <c r="U8" s="11"/>
      <c r="V8" s="11"/>
      <c r="W8" s="11"/>
    </row>
    <row r="9" s="3" customFormat="1" ht="18.75" spans="1:23">
      <c r="A9" s="1" t="s">
        <v>22</v>
      </c>
      <c r="B9" s="1">
        <f>B8/B3*B6</f>
        <v>3.34576988894711</v>
      </c>
      <c r="C9" s="1">
        <f>C6*C8/C3</f>
        <v>3.30334099404323</v>
      </c>
      <c r="D9" s="1">
        <f t="shared" ref="D9:G9" si="3">D8*D6/D3</f>
        <v>3.35936785410813</v>
      </c>
      <c r="E9" s="1">
        <f>E6*E8/E3</f>
        <v>3.55544773117052</v>
      </c>
      <c r="F9" s="1">
        <f t="shared" si="3"/>
        <v>4.30086013503701</v>
      </c>
      <c r="G9" s="1"/>
      <c r="H9" s="1" t="s">
        <v>23</v>
      </c>
      <c r="I9" s="1">
        <f>I4*(C10+2*D22)/5/D22</f>
        <v>-0.00403303655888313</v>
      </c>
      <c r="J9" s="1"/>
      <c r="K9" s="1"/>
      <c r="O9" s="2"/>
      <c r="P9" s="2"/>
      <c r="Q9" s="2"/>
      <c r="R9" s="11"/>
      <c r="S9" s="11"/>
      <c r="T9" s="11"/>
      <c r="U9" s="11"/>
      <c r="V9" s="11"/>
      <c r="W9" s="11"/>
    </row>
    <row r="10" s="3" customFormat="1" ht="15" spans="1:23">
      <c r="A10" s="1" t="s">
        <v>24</v>
      </c>
      <c r="B10" s="1">
        <v>125.13</v>
      </c>
      <c r="C10" s="1">
        <v>109.4</v>
      </c>
      <c r="D10" s="1">
        <v>116.6</v>
      </c>
      <c r="E10" s="1">
        <v>170</v>
      </c>
      <c r="F10" s="1">
        <v>174.2</v>
      </c>
      <c r="G10" s="1"/>
      <c r="H10" s="1" t="s">
        <v>25</v>
      </c>
      <c r="I10" s="1">
        <f>I5*(F10+2*E22)/5/E22</f>
        <v>-0.00281208522470338</v>
      </c>
      <c r="J10" s="1"/>
      <c r="K10" s="1"/>
      <c r="O10" s="2"/>
      <c r="P10" s="2"/>
      <c r="Q10" s="2"/>
      <c r="R10" s="1"/>
      <c r="S10" s="1"/>
      <c r="T10" s="1"/>
      <c r="U10" s="1"/>
      <c r="V10" s="1"/>
      <c r="W10" s="1"/>
    </row>
    <row r="11" s="3" customFormat="1" ht="15" spans="1:23">
      <c r="A11" s="1" t="s">
        <v>26</v>
      </c>
      <c r="B11" s="1">
        <v>5.4</v>
      </c>
      <c r="C11" s="1">
        <v>10.8</v>
      </c>
      <c r="D11" s="1">
        <v>5</v>
      </c>
      <c r="E11" s="1">
        <v>4.51</v>
      </c>
      <c r="F11" s="1">
        <v>4.61</v>
      </c>
      <c r="G11" s="1"/>
      <c r="H11" s="1" t="s">
        <v>28</v>
      </c>
      <c r="I11" s="1">
        <f>B25/(2/(B22-D22)-I9)+C25/(2/(C22-D22)-I9)+E25/(2/(E22-D22)-I9)+F25/(2/(F22-D22)-I9)</f>
        <v>3.09663253179814</v>
      </c>
      <c r="J11" s="1"/>
      <c r="K11" s="1"/>
      <c r="O11" s="2"/>
      <c r="P11" s="2"/>
      <c r="Q11" s="2"/>
      <c r="R11" s="1"/>
      <c r="S11" s="1"/>
      <c r="T11" s="1"/>
      <c r="U11" s="1"/>
      <c r="V11" s="1"/>
      <c r="W11" s="1"/>
    </row>
    <row r="12" s="3" customFormat="1" ht="15" spans="1:23">
      <c r="A12" s="1" t="s">
        <v>29</v>
      </c>
      <c r="B12" s="1">
        <v>75.43</v>
      </c>
      <c r="C12" s="1">
        <v>75.2</v>
      </c>
      <c r="D12" s="1">
        <v>60.8</v>
      </c>
      <c r="E12" s="1">
        <v>93.2</v>
      </c>
      <c r="F12" s="1">
        <v>94.9</v>
      </c>
      <c r="G12" s="1"/>
      <c r="H12" s="1" t="s">
        <v>30</v>
      </c>
      <c r="I12" s="1">
        <f>B25/(2/(B22-E22)-I10)+C25/(2/(C22-E22)-I10)+D25/(2/(D22-E22)-I10)+F25/(2/(F22-E22)-I10)</f>
        <v>-9.65068478190166</v>
      </c>
      <c r="J12" s="1"/>
      <c r="K12" s="1"/>
      <c r="O12" s="2"/>
      <c r="P12" s="2"/>
      <c r="Q12" s="2"/>
      <c r="R12" s="1"/>
      <c r="S12" s="1"/>
      <c r="T12" s="1"/>
      <c r="U12" s="1"/>
      <c r="V12" s="1"/>
      <c r="W12" s="1"/>
    </row>
    <row r="13" s="3" customFormat="1" ht="15" spans="1:23">
      <c r="A13" s="1" t="s">
        <v>31</v>
      </c>
      <c r="B13" s="1">
        <v>1.61</v>
      </c>
      <c r="C13" s="1">
        <v>2.06</v>
      </c>
      <c r="D13" s="1">
        <v>1.72</v>
      </c>
      <c r="E13" s="1">
        <v>1.51</v>
      </c>
      <c r="F13" s="1">
        <v>1.06</v>
      </c>
      <c r="G13" s="1"/>
      <c r="H13" s="1" t="s">
        <v>32</v>
      </c>
      <c r="I13" s="1">
        <f>(D22+(I11/(1+I9*I11)/2)+E22+(I12/(1+I10*I12)/2))/2</f>
        <v>71.047114330232</v>
      </c>
      <c r="J13" s="1"/>
      <c r="K13" s="1"/>
      <c r="O13" s="2"/>
      <c r="P13" s="2"/>
      <c r="Q13" s="2"/>
      <c r="R13" s="1"/>
      <c r="S13" s="1"/>
      <c r="T13" s="1"/>
      <c r="U13" s="1"/>
      <c r="V13" s="1"/>
      <c r="W13" s="1"/>
    </row>
    <row r="14" s="3" customFormat="1" ht="15" spans="1:23">
      <c r="A14" s="1" t="s">
        <v>33</v>
      </c>
      <c r="B14" s="1">
        <v>1.14</v>
      </c>
      <c r="C14" s="1">
        <v>1.05</v>
      </c>
      <c r="D14" s="1">
        <v>0.867</v>
      </c>
      <c r="E14" s="1">
        <v>1.15</v>
      </c>
      <c r="F14" s="1">
        <v>1.16</v>
      </c>
      <c r="G14" s="1"/>
      <c r="H14" s="1" t="s">
        <v>34</v>
      </c>
      <c r="I14" s="1" t="s">
        <v>35</v>
      </c>
      <c r="J14" s="1" t="s">
        <v>9</v>
      </c>
      <c r="K14" s="1"/>
      <c r="O14" s="2"/>
      <c r="P14" s="2"/>
      <c r="Q14" s="2"/>
      <c r="R14" s="1"/>
      <c r="S14" s="1"/>
      <c r="T14" s="1"/>
      <c r="U14" s="1"/>
      <c r="V14" s="1"/>
      <c r="W14" s="1"/>
    </row>
    <row r="15" s="3" customFormat="1" ht="15" spans="1:23">
      <c r="A15" s="1" t="s">
        <v>36</v>
      </c>
      <c r="B15" s="1">
        <f t="shared" ref="B15:G15" si="4">B14+B18</f>
        <v>6.37812406530392</v>
      </c>
      <c r="C15" s="1">
        <f t="shared" si="4"/>
        <v>7.65</v>
      </c>
      <c r="D15" s="1">
        <f t="shared" si="4"/>
        <v>5.85176120844571</v>
      </c>
      <c r="E15" s="1">
        <f t="shared" si="4"/>
        <v>5.48467713234444</v>
      </c>
      <c r="F15" s="1">
        <f t="shared" si="4"/>
        <v>5.82044329578075</v>
      </c>
      <c r="G15" s="1"/>
      <c r="H15" s="6">
        <f>((I8+I13*4/3)/I3)^0.5</f>
        <v>8.05649753778909</v>
      </c>
      <c r="I15" s="6">
        <f>(I13/I3)^0.5</f>
        <v>4.59017271020615</v>
      </c>
      <c r="J15" s="6">
        <f>I3</f>
        <v>3.37200639744368</v>
      </c>
      <c r="K15" s="1"/>
      <c r="O15" s="2"/>
      <c r="P15" s="2"/>
      <c r="Q15" s="2"/>
      <c r="R15" s="1"/>
      <c r="S15" s="1"/>
      <c r="T15" s="1"/>
      <c r="U15" s="1"/>
      <c r="V15" s="1"/>
      <c r="W15" s="1"/>
    </row>
    <row r="16" s="3" customFormat="1" ht="15" spans="1:23">
      <c r="A16" s="1" t="s">
        <v>37</v>
      </c>
      <c r="B16" s="1">
        <v>-0.019</v>
      </c>
      <c r="C16" s="1">
        <v>-0.0263</v>
      </c>
      <c r="D16" s="1">
        <v>-0.012</v>
      </c>
      <c r="E16" s="1">
        <v>-0.017</v>
      </c>
      <c r="F16" s="1">
        <v>-0.0267</v>
      </c>
      <c r="G16" s="1"/>
      <c r="H16" s="1"/>
      <c r="I16" s="1"/>
      <c r="J16" s="1"/>
      <c r="K16" s="1"/>
      <c r="O16" s="2"/>
      <c r="P16" s="2"/>
      <c r="Q16" s="2"/>
      <c r="R16" s="1"/>
      <c r="S16" s="1"/>
      <c r="T16" s="1"/>
      <c r="U16" s="1"/>
      <c r="V16" s="1"/>
      <c r="W16" s="1"/>
    </row>
    <row r="17" s="3" customFormat="1" ht="15" spans="1:23">
      <c r="A17" s="1" t="s">
        <v>38</v>
      </c>
      <c r="B17" s="1">
        <f>B10/(1+B4*B14*K4)</f>
        <v>113.228998757681</v>
      </c>
      <c r="C17" s="1">
        <f>C10/(1+C4*C14*K4)</f>
        <v>100.54483513104</v>
      </c>
      <c r="D17" s="1">
        <f>D10/(1+D4*D14*K4)</f>
        <v>112.016757900954</v>
      </c>
      <c r="E17" s="1">
        <f>E10/(1+E4*E14*K4)</f>
        <v>154.583690687041</v>
      </c>
      <c r="F17" s="1">
        <f>F10/(1+F4*F14*K4)</f>
        <v>162.455263324296</v>
      </c>
      <c r="G17" s="1"/>
      <c r="H17" s="1"/>
      <c r="I17" s="1"/>
      <c r="J17" s="1"/>
      <c r="K17" s="1"/>
      <c r="O17" s="2"/>
      <c r="P17" s="2"/>
      <c r="Q17" s="2"/>
      <c r="R17" s="1"/>
      <c r="S17" s="1"/>
      <c r="T17" s="1"/>
      <c r="U17" s="1"/>
      <c r="V17" s="1"/>
      <c r="W17" s="1"/>
    </row>
    <row r="18" s="3" customFormat="1" ht="15" spans="1:11">
      <c r="A18" s="1" t="s">
        <v>39</v>
      </c>
      <c r="B18" s="1">
        <f>(B11-(B14*K4/B17)*B16)/(1+B4*B14*K4)</f>
        <v>5.23812406530392</v>
      </c>
      <c r="C18" s="1">
        <v>6.6</v>
      </c>
      <c r="D18" s="1">
        <f>(D11-(D14*K4/D17)*D16)/(1+D4*D14*K4)</f>
        <v>4.98476120844571</v>
      </c>
      <c r="E18" s="1">
        <f>(E11-(E14*K4/E17)*E16)/(1+E4*E14*K4)</f>
        <v>4.33467713234444</v>
      </c>
      <c r="F18" s="1">
        <f>(F11-(F14*K4/F17)*F16)/(1+F4*F14*K4)</f>
        <v>4.66044329578075</v>
      </c>
      <c r="G18" s="1"/>
      <c r="H18" s="1"/>
      <c r="I18" s="1"/>
      <c r="J18" s="1"/>
      <c r="K18" s="1"/>
    </row>
    <row r="19" s="3" customFormat="1" ht="15" spans="1:11">
      <c r="A19" s="1" t="s">
        <v>40</v>
      </c>
      <c r="B19" s="1">
        <f t="shared" ref="B19:G19" si="5">B17*(2.71828^(-B15*B5))</f>
        <v>90.1825718989142</v>
      </c>
      <c r="C19" s="1">
        <f t="shared" si="5"/>
        <v>76.9419526341502</v>
      </c>
      <c r="D19" s="1">
        <f t="shared" si="5"/>
        <v>98.2702033509779</v>
      </c>
      <c r="E19" s="1">
        <f t="shared" si="5"/>
        <v>131.704525296942</v>
      </c>
      <c r="F19" s="1">
        <f t="shared" si="5"/>
        <v>135.937797624247</v>
      </c>
      <c r="G19" s="1"/>
      <c r="H19" s="1"/>
      <c r="I19" s="1"/>
      <c r="J19" s="1"/>
      <c r="K19" s="1"/>
    </row>
    <row r="20" s="3" customFormat="1" ht="15" spans="1:11">
      <c r="A20" s="1" t="s">
        <v>41</v>
      </c>
      <c r="B20" s="1">
        <f t="shared" ref="B20:G20" si="6">B19*(1-B7*(5-3*B18))*((1+2*B7)^2.5)</f>
        <v>108.968285228458</v>
      </c>
      <c r="C20" s="1">
        <f t="shared" si="6"/>
        <v>99.7206358173427</v>
      </c>
      <c r="D20" s="1">
        <f t="shared" si="6"/>
        <v>117.944781459426</v>
      </c>
      <c r="E20" s="1">
        <f t="shared" si="6"/>
        <v>148.3551472123</v>
      </c>
      <c r="F20" s="1">
        <f t="shared" si="6"/>
        <v>153.544382612476</v>
      </c>
      <c r="G20" s="1"/>
      <c r="H20" s="1"/>
      <c r="I20" s="1"/>
      <c r="J20" s="1"/>
      <c r="K20" s="1"/>
    </row>
    <row r="21" s="3" customFormat="1" ht="15" spans="1:11">
      <c r="A21" s="1" t="s">
        <v>42</v>
      </c>
      <c r="B21" s="1">
        <f t="shared" ref="B21:G21" si="7">B12*2.71828^(-B15*B5)</f>
        <v>60.0771133982461</v>
      </c>
      <c r="C21" s="1">
        <f t="shared" si="7"/>
        <v>57.5468131261754</v>
      </c>
      <c r="D21" s="1">
        <f t="shared" si="7"/>
        <v>53.3387010631252</v>
      </c>
      <c r="E21" s="1">
        <f t="shared" si="7"/>
        <v>79.4059302318368</v>
      </c>
      <c r="F21" s="1">
        <f t="shared" si="7"/>
        <v>79.4095354657044</v>
      </c>
      <c r="G21" s="1"/>
      <c r="H21" s="1"/>
      <c r="I21" s="1"/>
      <c r="J21" s="1"/>
      <c r="K21" s="1"/>
    </row>
    <row r="22" s="3" customFormat="1" ht="15" spans="1:11">
      <c r="A22" s="1" t="s">
        <v>43</v>
      </c>
      <c r="B22" s="1">
        <f t="shared" ref="B22:F22" si="8">B21*((1+2*B7)^2.5)*(1-B7*(5-3*B13*B19/B21))</f>
        <v>65.7585682332461</v>
      </c>
      <c r="C22" s="1">
        <f t="shared" si="8"/>
        <v>64.5362831246459</v>
      </c>
      <c r="D22" s="1">
        <f t="shared" si="8"/>
        <v>60.0707147143623</v>
      </c>
      <c r="E22" s="1">
        <f t="shared" si="8"/>
        <v>85.1534660461099</v>
      </c>
      <c r="F22" s="1">
        <f t="shared" si="8"/>
        <v>83.3447460603791</v>
      </c>
      <c r="G22" s="1"/>
      <c r="H22" s="1"/>
      <c r="I22" s="1"/>
      <c r="J22" s="1"/>
      <c r="K22" s="1"/>
    </row>
    <row r="23" s="3" customFormat="1" ht="15" spans="1:11">
      <c r="A23" s="1" t="s">
        <v>10</v>
      </c>
      <c r="B23" s="1">
        <f t="shared" ref="B23:G23" si="9">1.5*B17*(B24^(7/3)-B24^(5/3))</f>
        <v>4.5646763</v>
      </c>
      <c r="C23" s="1">
        <f t="shared" si="9"/>
        <v>4.56467630000004</v>
      </c>
      <c r="D23" s="1">
        <f t="shared" si="9"/>
        <v>4.56467630000001</v>
      </c>
      <c r="E23" s="1">
        <f t="shared" si="9"/>
        <v>4.56467630000002</v>
      </c>
      <c r="F23" s="1">
        <f t="shared" si="9"/>
        <v>4.56467629999999</v>
      </c>
      <c r="G23" s="1"/>
      <c r="H23" s="1"/>
      <c r="I23" s="1"/>
      <c r="J23" s="1"/>
      <c r="K23" s="1"/>
    </row>
    <row r="24" s="3" customFormat="1" ht="15" spans="1:11">
      <c r="A24" s="1" t="s">
        <v>44</v>
      </c>
      <c r="B24" s="7">
        <v>1.03811518811343</v>
      </c>
      <c r="C24" s="7">
        <v>1.04264453134584</v>
      </c>
      <c r="D24" s="7">
        <v>1.03850595097213</v>
      </c>
      <c r="E24" s="7">
        <v>1.02831802619468</v>
      </c>
      <c r="F24" s="7">
        <v>1.02699784112789</v>
      </c>
      <c r="G24" s="1"/>
      <c r="H24" s="1"/>
      <c r="I24" s="1"/>
      <c r="J24" s="1"/>
      <c r="K24" s="1"/>
    </row>
    <row r="25" s="3" customFormat="1" ht="15" spans="1:11">
      <c r="A25" s="1" t="s">
        <v>45</v>
      </c>
      <c r="B25" s="1">
        <f>(B28/B9)/(B28/B9+C28/C9+D28/D9+E28/E9+F28/F9)</f>
        <v>0.574469766403377</v>
      </c>
      <c r="C25" s="1">
        <f>(C28/C9)/(B28/B9+C28/C9+D28/D9+E28/E9+F28/F9)</f>
        <v>0.1837415975627</v>
      </c>
      <c r="D25" s="1">
        <f>(D28/D9)/(B28/B9+C28/C9+D28/D9+E28/E9+F28/F9)</f>
        <v>0.15056432685632</v>
      </c>
      <c r="E25" s="1">
        <f>(E28/E9)/(B28/B9+C28/C9+D28/D9+E28/E9+F28/F9)</f>
        <v>0.0739756337000113</v>
      </c>
      <c r="F25" s="1">
        <f>(F28/F9)/(B28/B9+C28/C9+D28/D9+E28/E9+F28/F9)</f>
        <v>0.0172486754775909</v>
      </c>
      <c r="G25" s="1"/>
      <c r="H25" s="1"/>
      <c r="I25" s="1"/>
      <c r="J25" s="1"/>
      <c r="K25" s="1"/>
    </row>
    <row r="26" s="3" customFormat="1" ht="15" spans="1:11">
      <c r="A26" s="1" t="s">
        <v>34</v>
      </c>
      <c r="B26" s="1">
        <f t="shared" ref="B26:G26" si="10">(((B10+(4/3)*B22)/B9)^0.5)</f>
        <v>7.97528173260573</v>
      </c>
      <c r="C26" s="1">
        <f t="shared" si="10"/>
        <v>7.69200098702731</v>
      </c>
      <c r="D26" s="1">
        <f t="shared" si="10"/>
        <v>7.65186133301316</v>
      </c>
      <c r="E26" s="1">
        <f t="shared" si="10"/>
        <v>8.93014379267057</v>
      </c>
      <c r="F26" s="1">
        <f t="shared" si="10"/>
        <v>8.14504079777451</v>
      </c>
      <c r="G26" s="1"/>
      <c r="H26" s="1"/>
      <c r="I26" s="1"/>
      <c r="J26" s="1"/>
      <c r="K26" s="1"/>
    </row>
    <row r="27" s="3" customFormat="1" ht="15" spans="1:11">
      <c r="A27" s="1" t="s">
        <v>35</v>
      </c>
      <c r="B27" s="1">
        <f t="shared" ref="B27:G27" si="11">(B22/B9)^0.5</f>
        <v>4.43331040544618</v>
      </c>
      <c r="C27" s="1">
        <f t="shared" si="11"/>
        <v>4.42003055063904</v>
      </c>
      <c r="D27" s="1">
        <f t="shared" si="11"/>
        <v>4.2286585478725</v>
      </c>
      <c r="E27" s="1">
        <f t="shared" si="11"/>
        <v>4.8938878846977</v>
      </c>
      <c r="F27" s="1">
        <f t="shared" si="11"/>
        <v>4.40211571300591</v>
      </c>
      <c r="G27" s="1"/>
      <c r="H27" s="1"/>
      <c r="I27" s="1"/>
      <c r="J27" s="1"/>
      <c r="K27" s="1"/>
    </row>
    <row r="28" s="3" customFormat="1" ht="15" spans="1:11">
      <c r="A28" s="1" t="s">
        <v>46</v>
      </c>
      <c r="B28" s="8">
        <v>57</v>
      </c>
      <c r="C28" s="8">
        <v>18</v>
      </c>
      <c r="D28" s="8">
        <v>15</v>
      </c>
      <c r="E28" s="8">
        <v>7.8</v>
      </c>
      <c r="F28" s="8">
        <v>2.2</v>
      </c>
      <c r="G28" s="1"/>
      <c r="H28" s="1"/>
      <c r="I28" s="1"/>
      <c r="J28" s="1"/>
      <c r="K28" s="1"/>
    </row>
    <row r="29" s="3" customFormat="1" ht="15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="3" customFormat="1" ht="15" spans="1:11">
      <c r="A30" s="1"/>
      <c r="B30" s="8"/>
      <c r="C30" s="8"/>
      <c r="D30" s="8"/>
      <c r="E30" s="8"/>
      <c r="F30" s="8"/>
      <c r="G30" s="1"/>
      <c r="H30" s="1"/>
      <c r="I30" s="1"/>
      <c r="J30" s="1"/>
      <c r="K30" s="1"/>
    </row>
    <row r="31" s="3" customFormat="1" ht="15" spans="2:11">
      <c r="B31" s="8"/>
      <c r="C31" s="8"/>
      <c r="D31" s="8"/>
      <c r="E31" s="8"/>
      <c r="F31" s="8"/>
      <c r="G31" s="1"/>
      <c r="I31" s="1"/>
      <c r="J31" s="1"/>
      <c r="K31" s="1"/>
    </row>
    <row r="32" s="3" customFormat="1" ht="15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="3" customFormat="1" ht="15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="3" customFormat="1" ht="15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="3" customFormat="1" ht="15" spans="2:7">
      <c r="B35" s="1"/>
      <c r="C35" s="1"/>
      <c r="D35" s="1"/>
      <c r="E35" s="1"/>
      <c r="F35" s="1"/>
      <c r="G35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75" zoomScaleNormal="175" workbookViewId="0">
      <selection activeCell="E29" sqref="E29"/>
    </sheetView>
  </sheetViews>
  <sheetFormatPr defaultColWidth="9" defaultRowHeight="15"/>
  <cols>
    <col min="1" max="1" width="9.875" style="1" customWidth="1"/>
    <col min="2" max="2" width="9" style="1"/>
    <col min="3" max="4" width="10.25" style="1" customWidth="1"/>
    <col min="5" max="9" width="11.125" style="1"/>
    <col min="10" max="16384" width="9" style="1"/>
  </cols>
  <sheetData>
    <row r="1" s="1" customFormat="1" spans="1:9">
      <c r="A1" s="2" t="s">
        <v>47</v>
      </c>
      <c r="B1" s="1" t="s">
        <v>13</v>
      </c>
      <c r="C1" s="2" t="s">
        <v>10</v>
      </c>
      <c r="D1" s="2" t="s">
        <v>48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="1" customFormat="1" spans="1:9">
      <c r="A2" s="1">
        <v>1639.5</v>
      </c>
      <c r="B2" s="1">
        <f>A2+273</f>
        <v>1912.5</v>
      </c>
      <c r="C2" s="1">
        <v>4.272971072</v>
      </c>
      <c r="D2" s="1">
        <v>1200</v>
      </c>
      <c r="E2" s="1">
        <v>1.03565220613249</v>
      </c>
      <c r="F2" s="1">
        <v>1.03995288803827</v>
      </c>
      <c r="G2" s="1">
        <v>1.03617345491627</v>
      </c>
      <c r="H2" s="1">
        <v>1.0264631146666</v>
      </c>
      <c r="I2" s="1">
        <v>1.02529523313744</v>
      </c>
    </row>
    <row r="3" s="1" customFormat="1" spans="1:9">
      <c r="A3" s="1">
        <v>1643.35</v>
      </c>
      <c r="B3" s="1">
        <v>1916.35</v>
      </c>
      <c r="C3" s="1">
        <v>4.2849663</v>
      </c>
      <c r="D3" s="1">
        <v>1207</v>
      </c>
      <c r="E3" s="1">
        <v>1.03579714553069</v>
      </c>
      <c r="F3" s="1">
        <v>1.04011209555432</v>
      </c>
      <c r="G3" s="1">
        <v>1.03631310002003</v>
      </c>
      <c r="H3" s="1">
        <v>1.02657213098493</v>
      </c>
      <c r="I3" s="1">
        <v>1.02539639380212</v>
      </c>
    </row>
    <row r="4" s="1" customFormat="1" spans="1:9">
      <c r="A4" s="1">
        <v>1648.85</v>
      </c>
      <c r="B4" s="1">
        <v>1921.85</v>
      </c>
      <c r="C4" s="1">
        <v>4.3018436</v>
      </c>
      <c r="D4" s="1">
        <v>1217</v>
      </c>
      <c r="E4" s="1">
        <v>1.0359397240987</v>
      </c>
      <c r="F4" s="1">
        <v>1.04026864516798</v>
      </c>
      <c r="G4" s="1">
        <v>1.03645028758534</v>
      </c>
      <c r="H4" s="1">
        <v>1.02667938606655</v>
      </c>
      <c r="I4" s="1">
        <v>1.02549583654517</v>
      </c>
    </row>
    <row r="5" s="1" customFormat="1" spans="1:9">
      <c r="A5" s="1">
        <v>1654.35</v>
      </c>
      <c r="B5" s="1">
        <v>1927.35</v>
      </c>
      <c r="C5" s="1">
        <v>4.3184165</v>
      </c>
      <c r="D5" s="1">
        <v>1227</v>
      </c>
      <c r="E5" s="1">
        <v>1.03607994238519</v>
      </c>
      <c r="F5" s="1">
        <v>1.04042253822955</v>
      </c>
      <c r="G5" s="1">
        <v>1.03658501954121</v>
      </c>
      <c r="H5" s="1">
        <v>1.02678487983248</v>
      </c>
      <c r="I5" s="1">
        <v>1.02559356177784</v>
      </c>
    </row>
    <row r="6" s="1" customFormat="1" spans="1:9">
      <c r="A6" s="1">
        <v>1659.85</v>
      </c>
      <c r="B6" s="1">
        <v>1932.85</v>
      </c>
      <c r="C6" s="1">
        <v>4.334685</v>
      </c>
      <c r="D6" s="1">
        <v>1237</v>
      </c>
      <c r="E6" s="1">
        <v>1.03621780088542</v>
      </c>
      <c r="F6" s="1">
        <v>1.04057377602425</v>
      </c>
      <c r="G6" s="1">
        <v>1.0367172977627</v>
      </c>
      <c r="H6" s="1">
        <v>1.02688861217173</v>
      </c>
      <c r="I6" s="1">
        <v>1.02568956988448</v>
      </c>
    </row>
    <row r="7" s="1" customFormat="1" spans="1:9">
      <c r="A7" s="1">
        <v>1665.35</v>
      </c>
      <c r="B7" s="1">
        <v>1938.35</v>
      </c>
      <c r="C7" s="1">
        <v>4.3506491</v>
      </c>
      <c r="D7" s="1">
        <v>1247</v>
      </c>
      <c r="E7" s="1">
        <v>1.03636496137993</v>
      </c>
      <c r="F7" s="1">
        <v>1.04073300144667</v>
      </c>
      <c r="G7" s="1">
        <v>1.03685147558976</v>
      </c>
      <c r="H7" s="1">
        <v>1.0269994523438</v>
      </c>
      <c r="I7" s="1">
        <v>1.02578904620056</v>
      </c>
    </row>
    <row r="8" spans="1:9">
      <c r="A8" s="1">
        <v>1676.35</v>
      </c>
      <c r="B8" s="1">
        <v>1949.35</v>
      </c>
      <c r="C8" s="2">
        <v>4.3663088</v>
      </c>
      <c r="D8" s="2">
        <v>1257</v>
      </c>
      <c r="E8" s="1">
        <v>1.03649815440776</v>
      </c>
      <c r="F8" s="1">
        <v>1.04087897835033</v>
      </c>
      <c r="G8" s="1">
        <v>1.03697886920311</v>
      </c>
      <c r="H8" s="1">
        <v>1.02709970462425</v>
      </c>
      <c r="I8" s="1">
        <v>1.02588164173588</v>
      </c>
    </row>
    <row r="9" spans="1:9">
      <c r="A9" s="1">
        <v>1681.85</v>
      </c>
      <c r="B9" s="1">
        <v>1954.85</v>
      </c>
      <c r="C9" s="2">
        <v>4.3816641</v>
      </c>
      <c r="D9" s="2">
        <v>1267</v>
      </c>
      <c r="E9" s="1">
        <v>1.03649815440776</v>
      </c>
      <c r="F9" s="1">
        <v>1.04087897835033</v>
      </c>
      <c r="G9" s="1">
        <v>1.03697886920311</v>
      </c>
      <c r="H9" s="1">
        <v>1.02709970462425</v>
      </c>
      <c r="I9" s="1">
        <v>1.02588164173588</v>
      </c>
    </row>
    <row r="10" spans="1:9">
      <c r="A10" s="1">
        <v>1687.35</v>
      </c>
      <c r="B10" s="1">
        <v>1960.35</v>
      </c>
      <c r="C10" s="2">
        <v>4.396715</v>
      </c>
      <c r="D10" s="2">
        <v>1277</v>
      </c>
      <c r="E10" s="1">
        <v>1.03662898815206</v>
      </c>
      <c r="F10" s="1">
        <v>1.04102230284221</v>
      </c>
      <c r="G10" s="1">
        <v>1.03710381412469</v>
      </c>
      <c r="H10" s="1">
        <v>1.02719819445503</v>
      </c>
      <c r="I10" s="1">
        <v>1.02597252081628</v>
      </c>
    </row>
    <row r="11" spans="1:9">
      <c r="A11" s="1">
        <v>1692.85</v>
      </c>
      <c r="B11" s="1">
        <v>1965.85</v>
      </c>
      <c r="C11" s="2">
        <v>4.4114615</v>
      </c>
      <c r="D11" s="2">
        <v>1287</v>
      </c>
      <c r="E11" s="1">
        <v>1.03675746289414</v>
      </c>
      <c r="F11" s="1">
        <v>1.04116297594807</v>
      </c>
      <c r="G11" s="1">
        <v>1.03722631201537</v>
      </c>
      <c r="H11" s="1">
        <v>1.02729492159522</v>
      </c>
      <c r="I11" s="1">
        <v>1.02606168371868</v>
      </c>
    </row>
    <row r="12" spans="1:9">
      <c r="A12" s="2">
        <v>1698.35</v>
      </c>
      <c r="B12" s="2">
        <f t="shared" ref="B8:B23" si="0">A12+273</f>
        <v>1971.35</v>
      </c>
      <c r="C12" s="2">
        <v>4.4259036</v>
      </c>
      <c r="D12" s="2">
        <v>1297</v>
      </c>
      <c r="E12" s="1">
        <v>1.03688357886246</v>
      </c>
      <c r="F12" s="1">
        <v>1.04130099862952</v>
      </c>
      <c r="G12" s="1">
        <v>1.03734636448302</v>
      </c>
      <c r="H12" s="1">
        <v>1.027389885772</v>
      </c>
      <c r="I12" s="1">
        <v>1.02614913069331</v>
      </c>
    </row>
    <row r="13" spans="1:9">
      <c r="A13" s="2">
        <v>1703.85</v>
      </c>
      <c r="B13" s="2">
        <f t="shared" si="0"/>
        <v>1976.85</v>
      </c>
      <c r="C13" s="2">
        <v>4.4400413</v>
      </c>
      <c r="D13" s="2">
        <v>1307</v>
      </c>
      <c r="E13" s="1">
        <v>1.03700733623271</v>
      </c>
      <c r="F13" s="1">
        <v>1.04143637178413</v>
      </c>
      <c r="G13" s="1">
        <v>1.03746397308263</v>
      </c>
      <c r="H13" s="1">
        <v>1.02748308668061</v>
      </c>
      <c r="I13" s="1">
        <v>1.02623486196374</v>
      </c>
    </row>
    <row r="14" spans="1:9">
      <c r="A14" s="2">
        <v>1709.35</v>
      </c>
      <c r="B14" s="2">
        <f t="shared" si="0"/>
        <v>1982.35</v>
      </c>
      <c r="C14" s="2">
        <v>4.4538746</v>
      </c>
      <c r="D14" s="2">
        <v>1317</v>
      </c>
      <c r="E14" s="1">
        <v>1.03712873512789</v>
      </c>
      <c r="F14" s="1">
        <v>1.04156909624561</v>
      </c>
      <c r="G14" s="1">
        <v>1.03757913931651</v>
      </c>
      <c r="H14" s="1">
        <v>1.02757452398443</v>
      </c>
      <c r="I14" s="1">
        <v>1.0263188777269</v>
      </c>
    </row>
    <row r="15" spans="1:9">
      <c r="A15" s="2">
        <v>1714.85</v>
      </c>
      <c r="B15" s="2">
        <f t="shared" si="0"/>
        <v>1987.85</v>
      </c>
      <c r="C15" s="2">
        <v>4.4674035</v>
      </c>
      <c r="D15" s="2">
        <v>1327</v>
      </c>
      <c r="E15" s="1">
        <v>1.03724777561839</v>
      </c>
      <c r="F15" s="1">
        <v>1.04169917278396</v>
      </c>
      <c r="G15" s="1">
        <v>1.03769186463447</v>
      </c>
      <c r="H15" s="1">
        <v>1.02766419731498</v>
      </c>
      <c r="I15" s="1">
        <v>1.02640117815317</v>
      </c>
    </row>
    <row r="16" spans="1:9">
      <c r="A16" s="2">
        <v>1720.35</v>
      </c>
      <c r="B16" s="2">
        <f t="shared" si="0"/>
        <v>1993.35</v>
      </c>
      <c r="C16" s="2">
        <v>4.480628</v>
      </c>
      <c r="D16" s="2">
        <v>1337</v>
      </c>
      <c r="E16" s="1">
        <v>1.03736445772205</v>
      </c>
      <c r="F16" s="1">
        <v>1.04182660210565</v>
      </c>
      <c r="G16" s="1">
        <v>1.03780215043392</v>
      </c>
      <c r="H16" s="1">
        <v>1.0277521062719</v>
      </c>
      <c r="I16" s="1">
        <v>1.02648176338633</v>
      </c>
    </row>
    <row r="17" spans="1:9">
      <c r="A17" s="2">
        <v>1725.85</v>
      </c>
      <c r="B17" s="2">
        <f t="shared" si="0"/>
        <v>1998.85</v>
      </c>
      <c r="C17" s="2">
        <v>4.4935481</v>
      </c>
      <c r="D17" s="2">
        <v>1347</v>
      </c>
      <c r="E17" s="1">
        <v>1.03747878140428</v>
      </c>
      <c r="F17" s="1">
        <v>1.04195138485368</v>
      </c>
      <c r="G17" s="1">
        <v>1.03790999806012</v>
      </c>
      <c r="H17" s="1">
        <v>1.027838250423</v>
      </c>
      <c r="I17" s="1">
        <v>1.02656063354368</v>
      </c>
    </row>
    <row r="18" spans="1:9">
      <c r="A18" s="2">
        <v>1731.35</v>
      </c>
      <c r="B18" s="2">
        <f t="shared" si="0"/>
        <v>2004.35</v>
      </c>
      <c r="C18" s="2">
        <v>4.5061638</v>
      </c>
      <c r="D18" s="2">
        <v>1357</v>
      </c>
      <c r="E18" s="1">
        <v>1.03759074657806</v>
      </c>
      <c r="F18" s="1">
        <v>1.04207352160782</v>
      </c>
      <c r="G18" s="1">
        <v>1.03801540880625</v>
      </c>
      <c r="H18" s="1">
        <v>1.02792262930425</v>
      </c>
      <c r="I18" s="1">
        <v>1.02663778871599</v>
      </c>
    </row>
    <row r="19" spans="1:9">
      <c r="A19" s="2">
        <v>1736.85</v>
      </c>
      <c r="B19" s="2">
        <f t="shared" si="0"/>
        <v>2009.85</v>
      </c>
      <c r="C19" s="2">
        <v>4.5184751</v>
      </c>
      <c r="D19" s="2">
        <v>1367</v>
      </c>
      <c r="E19" s="1">
        <v>1.037700353104</v>
      </c>
      <c r="F19" s="1">
        <v>1.04219301288461</v>
      </c>
      <c r="G19" s="1">
        <v>1.03811838391359</v>
      </c>
      <c r="H19" s="1">
        <v>1.02800524241982</v>
      </c>
      <c r="I19" s="1">
        <v>1.02671322896757</v>
      </c>
    </row>
    <row r="20" spans="1:9">
      <c r="A20" s="2">
        <v>1742.35</v>
      </c>
      <c r="B20" s="2">
        <f t="shared" si="0"/>
        <v>2015.35</v>
      </c>
      <c r="C20" s="2">
        <v>4.530482</v>
      </c>
      <c r="D20" s="2">
        <v>1377</v>
      </c>
      <c r="E20" s="1">
        <v>1.03780760079049</v>
      </c>
      <c r="F20" s="1">
        <v>1.04230985913761</v>
      </c>
      <c r="G20" s="1">
        <v>1.03821892457168</v>
      </c>
      <c r="H20" s="1">
        <v>1.02808608924203</v>
      </c>
      <c r="I20" s="1">
        <v>1.0267869543363</v>
      </c>
    </row>
    <row r="21" spans="1:9">
      <c r="A21" s="2">
        <v>1747.85</v>
      </c>
      <c r="B21" s="2">
        <f t="shared" si="0"/>
        <v>2020.85</v>
      </c>
      <c r="C21" s="2">
        <v>4.5421845</v>
      </c>
      <c r="D21" s="2">
        <v>1387</v>
      </c>
      <c r="E21" s="1">
        <v>1.03791248939364</v>
      </c>
      <c r="F21" s="1">
        <v>1.04242406075741</v>
      </c>
      <c r="G21" s="1">
        <v>1.03831703191842</v>
      </c>
      <c r="H21" s="1">
        <v>1.02816516921141</v>
      </c>
      <c r="I21" s="1">
        <v>1.02685896483362</v>
      </c>
    </row>
    <row r="22" spans="1:9">
      <c r="A22" s="2">
        <v>1753.35</v>
      </c>
      <c r="B22" s="2">
        <f t="shared" si="0"/>
        <v>2026.35</v>
      </c>
      <c r="C22" s="2">
        <v>4.5535826</v>
      </c>
      <c r="D22" s="2">
        <v>1397</v>
      </c>
      <c r="E22" s="1">
        <v>1.03801501861736</v>
      </c>
      <c r="F22" s="1">
        <v>1.04253561807181</v>
      </c>
      <c r="G22" s="1">
        <v>1.03841270704023</v>
      </c>
      <c r="H22" s="1">
        <v>1.02824248173666</v>
      </c>
      <c r="I22" s="1">
        <v>1.0269292604446</v>
      </c>
    </row>
    <row r="23" spans="1:4">
      <c r="A23" s="2">
        <v>1758.85</v>
      </c>
      <c r="B23" s="2">
        <f t="shared" si="0"/>
        <v>2031.85</v>
      </c>
      <c r="C23" s="2">
        <v>4.5646763</v>
      </c>
      <c r="D23" s="2">
        <v>1407</v>
      </c>
    </row>
    <row r="25" spans="1:9">
      <c r="A25" s="1">
        <v>1700</v>
      </c>
      <c r="B25" s="1">
        <v>1973</v>
      </c>
      <c r="C25" s="1">
        <v>4.5</v>
      </c>
      <c r="D25" s="1" t="s">
        <v>27</v>
      </c>
      <c r="E25" s="1">
        <v>1.0374729638386</v>
      </c>
      <c r="F25" s="1">
        <v>1.04195637420455</v>
      </c>
      <c r="G25" s="1">
        <v>1.03794046073125</v>
      </c>
      <c r="H25" s="1">
        <v>1.02783329904072</v>
      </c>
      <c r="I25" s="1">
        <v>1.02657215554878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Mw-bearing velocity and density</vt:lpstr>
      <vt:lpstr>Table 2 (V0 to V)</vt:lpstr>
      <vt:lpstr>phase</vt:lpstr>
      <vt:lpstr>density of Fe0.6Mg0.4O</vt:lpstr>
      <vt:lpstr>density of Fe0.8Mg0.2O</vt:lpstr>
      <vt:lpstr>Mw-free velocity and density</vt:lpstr>
      <vt:lpstr>Table 7 (V0 to V)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许潜智</dc:creator>
  <cp:lastModifiedBy>宣纸</cp:lastModifiedBy>
  <dcterms:created xsi:type="dcterms:W3CDTF">2023-05-12T11:15:00Z</dcterms:created>
  <dcterms:modified xsi:type="dcterms:W3CDTF">2025-02-19T06:53:26Z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B67F56AAD0774A00A449BA3DF956B81B_12</vt:lpwstr>
  </property>
</Properties>
</file>