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0480"/>
  </bookViews>
  <sheets>
    <sheet name="calculation of Mw + Ol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<sst xmlns="http://schemas.openxmlformats.org/spreadsheetml/2006/main" count="55" uniqueCount="47">
  <si>
    <t>Calculation for Mw + Ol aggregate geophysical properties</t>
  </si>
  <si>
    <t>Enter the pressure and temperature into the red cell  and phase fraction to purple cell, then copy the corresponding calculated V0/V from Table 1 into the green cell. The density and velocity will be displayed in the yellow cell. Temperature from 1469.15 K to 2075.15 K.</t>
  </si>
  <si>
    <t>Fo</t>
  </si>
  <si>
    <t>Fa</t>
  </si>
  <si>
    <t>Mw</t>
  </si>
  <si>
    <t>Bulk</t>
  </si>
  <si>
    <r>
      <rPr>
        <sz val="11"/>
        <color theme="1"/>
        <rFont val="Times New Roman"/>
        <charset val="134"/>
      </rPr>
      <t>ρ</t>
    </r>
    <r>
      <rPr>
        <vertAlign val="subscript"/>
        <sz val="11"/>
        <color theme="1"/>
        <rFont val="Times New Roman"/>
        <charset val="134"/>
      </rPr>
      <t>0</t>
    </r>
  </si>
  <si>
    <t>ρ</t>
  </si>
  <si>
    <t>P (GPa)</t>
  </si>
  <si>
    <t>Table 1: V0/V for calculation</t>
  </si>
  <si>
    <t>α(T)</t>
  </si>
  <si>
    <r>
      <rPr>
        <sz val="11"/>
        <color theme="1"/>
        <rFont val="Times New Roman"/>
        <charset val="134"/>
      </rPr>
      <t>α</t>
    </r>
    <r>
      <rPr>
        <sz val="8"/>
        <color theme="1"/>
        <rFont val="Times New Roman"/>
        <charset val="134"/>
      </rPr>
      <t>1</t>
    </r>
  </si>
  <si>
    <t>T (K)</t>
  </si>
  <si>
    <t>deepth (km)</t>
  </si>
  <si>
    <t>Φ</t>
  </si>
  <si>
    <r>
      <rPr>
        <sz val="11"/>
        <color theme="1"/>
        <rFont val="Times New Roman"/>
        <charset val="134"/>
      </rPr>
      <t>α</t>
    </r>
    <r>
      <rPr>
        <sz val="8"/>
        <color theme="1"/>
        <rFont val="Times New Roman"/>
        <charset val="134"/>
      </rPr>
      <t>n</t>
    </r>
  </si>
  <si>
    <t>ρ(T)</t>
  </si>
  <si>
    <r>
      <rPr>
        <sz val="11"/>
        <color theme="1"/>
        <rFont val="Times New Roman"/>
        <charset val="134"/>
      </rPr>
      <t>A</t>
    </r>
    <r>
      <rPr>
        <sz val="8"/>
        <color theme="1"/>
        <rFont val="Times New Roman"/>
        <charset val="134"/>
      </rPr>
      <t>1</t>
    </r>
  </si>
  <si>
    <t>f</t>
  </si>
  <si>
    <r>
      <rPr>
        <sz val="11"/>
        <color theme="1"/>
        <rFont val="Times New Roman"/>
        <charset val="134"/>
      </rPr>
      <t>A</t>
    </r>
    <r>
      <rPr>
        <sz val="8"/>
        <color theme="1"/>
        <rFont val="Times New Roman"/>
        <charset val="134"/>
      </rPr>
      <t>n</t>
    </r>
  </si>
  <si>
    <t>ρ(P)</t>
  </si>
  <si>
    <t>K</t>
  </si>
  <si>
    <r>
      <rPr>
        <sz val="11"/>
        <color theme="1"/>
        <rFont val="Times New Roman"/>
        <charset val="134"/>
      </rPr>
      <t>ρ</t>
    </r>
    <r>
      <rPr>
        <vertAlign val="subscript"/>
        <sz val="11"/>
        <color theme="1"/>
        <rFont val="Times New Roman"/>
        <charset val="134"/>
      </rPr>
      <t>HPT</t>
    </r>
  </si>
  <si>
    <r>
      <rPr>
        <sz val="11"/>
        <color theme="1"/>
        <rFont val="Times New Roman"/>
        <charset val="134"/>
      </rPr>
      <t>β</t>
    </r>
    <r>
      <rPr>
        <sz val="8"/>
        <color theme="1"/>
        <rFont val="Times New Roman"/>
        <charset val="134"/>
      </rPr>
      <t>1</t>
    </r>
  </si>
  <si>
    <t>α(T,P)</t>
  </si>
  <si>
    <r>
      <rPr>
        <sz val="11"/>
        <color theme="1"/>
        <rFont val="Times New Roman"/>
        <charset val="134"/>
      </rPr>
      <t>β</t>
    </r>
    <r>
      <rPr>
        <sz val="8"/>
        <color theme="1"/>
        <rFont val="Times New Roman"/>
        <charset val="134"/>
      </rPr>
      <t>n</t>
    </r>
  </si>
  <si>
    <r>
      <rPr>
        <sz val="11"/>
        <color theme="1"/>
        <rFont val="Times New Roman"/>
        <charset val="134"/>
      </rPr>
      <t>K</t>
    </r>
    <r>
      <rPr>
        <sz val="7.5"/>
        <color theme="1"/>
        <rFont val="Times New Roman"/>
        <charset val="134"/>
      </rPr>
      <t>S</t>
    </r>
  </si>
  <si>
    <r>
      <rPr>
        <sz val="11"/>
        <color theme="1"/>
        <rFont val="Times New Roman"/>
        <charset val="134"/>
      </rPr>
      <t>B</t>
    </r>
    <r>
      <rPr>
        <sz val="8"/>
        <color theme="1"/>
        <rFont val="Times New Roman"/>
        <charset val="134"/>
      </rPr>
      <t>1</t>
    </r>
  </si>
  <si>
    <r>
      <rPr>
        <sz val="11"/>
        <color theme="1"/>
        <rFont val="Times New Roman"/>
        <charset val="134"/>
      </rPr>
      <t>G</t>
    </r>
    <r>
      <rPr>
        <sz val="7.5"/>
        <color theme="1"/>
        <rFont val="Times New Roman"/>
        <charset val="134"/>
      </rPr>
      <t>0</t>
    </r>
  </si>
  <si>
    <r>
      <rPr>
        <sz val="11"/>
        <color theme="1"/>
        <rFont val="Times New Roman"/>
        <charset val="134"/>
      </rPr>
      <t>B</t>
    </r>
    <r>
      <rPr>
        <sz val="8"/>
        <color theme="1"/>
        <rFont val="Times New Roman"/>
        <charset val="134"/>
      </rPr>
      <t>n</t>
    </r>
  </si>
  <si>
    <r>
      <rPr>
        <sz val="11"/>
        <color theme="1"/>
        <rFont val="Times New Roman"/>
        <charset val="134"/>
      </rPr>
      <t>G'</t>
    </r>
    <r>
      <rPr>
        <sz val="7.5"/>
        <color theme="1"/>
        <rFont val="Times New Roman"/>
        <charset val="134"/>
      </rPr>
      <t>0</t>
    </r>
  </si>
  <si>
    <t>/</t>
  </si>
  <si>
    <t>G</t>
  </si>
  <si>
    <t>γth</t>
  </si>
  <si>
    <t>Vp</t>
  </si>
  <si>
    <t>Vs</t>
  </si>
  <si>
    <r>
      <rPr>
        <sz val="11"/>
        <color theme="1"/>
        <rFont val="Times New Roman"/>
        <charset val="134"/>
      </rPr>
      <t>δ</t>
    </r>
    <r>
      <rPr>
        <sz val="7.5"/>
        <color theme="1"/>
        <rFont val="Times New Roman"/>
        <charset val="134"/>
      </rPr>
      <t>T</t>
    </r>
  </si>
  <si>
    <t>KT0</t>
  </si>
  <si>
    <t>K'T0</t>
  </si>
  <si>
    <r>
      <rPr>
        <sz val="11"/>
        <color theme="1"/>
        <rFont val="Times New Roman"/>
        <charset val="134"/>
      </rPr>
      <t>K</t>
    </r>
    <r>
      <rPr>
        <sz val="7.5"/>
        <color theme="1"/>
        <rFont val="Times New Roman"/>
        <charset val="134"/>
      </rPr>
      <t>T</t>
    </r>
    <r>
      <rPr>
        <sz val="11"/>
        <color theme="1"/>
        <rFont val="Times New Roman"/>
        <charset val="134"/>
      </rPr>
      <t>(T)</t>
    </r>
  </si>
  <si>
    <r>
      <rPr>
        <sz val="11"/>
        <color theme="1"/>
        <rFont val="Times New Roman"/>
        <charset val="134"/>
      </rPr>
      <t>K</t>
    </r>
    <r>
      <rPr>
        <sz val="7.5"/>
        <color theme="1"/>
        <rFont val="Times New Roman"/>
        <charset val="134"/>
      </rPr>
      <t>T</t>
    </r>
    <r>
      <rPr>
        <sz val="11"/>
        <color theme="1"/>
        <rFont val="Times New Roman"/>
        <charset val="134"/>
      </rPr>
      <t>(T, P)</t>
    </r>
  </si>
  <si>
    <t>G(T)</t>
  </si>
  <si>
    <t>G(T, P)</t>
  </si>
  <si>
    <t>V0/V</t>
  </si>
  <si>
    <t>vol%</t>
  </si>
  <si>
    <t>wt%</t>
  </si>
  <si>
    <r>
      <rPr>
        <sz val="11"/>
        <color theme="1"/>
        <rFont val="Times New Roman"/>
        <charset val="134"/>
      </rPr>
      <t xml:space="preserve">Calculting equations are based on </t>
    </r>
    <r>
      <rPr>
        <b/>
        <sz val="11"/>
        <color theme="1"/>
        <rFont val="Times New Roman"/>
        <charset val="134"/>
      </rPr>
      <t>Hacker and Abers (2004)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</si>
</sst>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6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bscript"/>
      <sz val="11"/>
      <color theme="1"/>
      <name val="Times New Roman"/>
      <charset val="134"/>
    </font>
    <font>
      <sz val="8"/>
      <color theme="1"/>
      <name val="Times New Roman"/>
      <charset val="134"/>
    </font>
    <font>
      <sz val="7.5"/>
      <color theme="1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76DD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12" applyNumberFormat="0" applyAlignment="0" applyProtection="0">
      <alignment vertical="center"/>
    </xf>
    <xf numFmtId="0" fontId="13" fillId="8" borderId="13" applyNumberFormat="0" applyAlignment="0" applyProtection="0">
      <alignment vertical="center"/>
    </xf>
    <xf numFmtId="0" fontId="14" fillId="8" borderId="12" applyNumberFormat="0" applyAlignment="0" applyProtection="0">
      <alignment vertical="center"/>
    </xf>
    <xf numFmtId="0" fontId="15" fillId="9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 applyProtection="1">
      <alignment horizontal="center" vertical="center"/>
    </xf>
    <xf numFmtId="0" fontId="1" fillId="4" borderId="0" xfId="0" applyFont="1" applyFill="1" applyAlignment="1" applyProtection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 applyProtection="1">
      <alignment horizontal="center" vertical="center"/>
    </xf>
    <xf numFmtId="0" fontId="1" fillId="4" borderId="7" xfId="0" applyFont="1" applyFill="1" applyBorder="1" applyAlignment="1" applyProtection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40">
                <a:latin typeface="Times New Roman" panose="02020603050405020304" charset="0"/>
                <a:cs typeface="Times New Roman" panose="02020603050405020304" charset="0"/>
              </a:rPr>
              <a:t>Density of Mw as function of XFe at room pressure and temperature</a:t>
            </a:r>
            <a:endParaRPr lang="en-US" altLang="zh-CN" sz="1440">
              <a:latin typeface="Times New Roman" panose="02020603050405020304" charset="0"/>
              <a:cs typeface="Times New Roman" panose="02020603050405020304" charset="0"/>
            </a:endParaRPr>
          </a:p>
        </c:rich>
      </c:tx>
      <c:layout>
        <c:manualLayout>
          <c:xMode val="edge"/>
          <c:yMode val="edge"/>
          <c:x val="0.201973684210526"/>
          <c:y val="0.01388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6"/>
          <c:y val="0.174074074074074"/>
          <c:w val="0.818407894736842"/>
          <c:h val="0.569074074074074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1315789473684"/>
                  <c:y val="0.0787037037037037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latin typeface="Times New Roman" panose="02020603050405020304" charset="0"/>
                        <a:cs typeface="Times New Roman" panose="02020603050405020304" charset="0"/>
                      </a:rPr>
                      <a:t>y = 2.1276x + 3.6513</a:t>
                    </a:r>
                    <a:br>
                      <a:rPr>
                        <a:latin typeface="Times New Roman" panose="02020603050405020304" charset="0"/>
                        <a:cs typeface="Times New Roman" panose="02020603050405020304" charset="0"/>
                      </a:rPr>
                    </a:br>
                    <a:r>
                      <a:rPr>
                        <a:latin typeface="Times New Roman" panose="02020603050405020304" charset="0"/>
                        <a:cs typeface="Times New Roman" panose="02020603050405020304" charset="0"/>
                      </a:rPr>
                      <a:t>R</a:t>
                    </a:r>
                    <a:r>
                      <a:rPr baseline="35000">
                        <a:latin typeface="Times New Roman" panose="02020603050405020304" charset="0"/>
                        <a:cs typeface="Times New Roman" panose="02020603050405020304" charset="0"/>
                      </a:rPr>
                      <a:t>2</a:t>
                    </a:r>
                    <a:r>
                      <a:rPr>
                        <a:latin typeface="Times New Roman" panose="02020603050405020304" charset="0"/>
                        <a:cs typeface="Times New Roman" panose="02020603050405020304" charset="0"/>
                      </a:rPr>
                      <a:t> = 0.9969</a:t>
                    </a:r>
                    <a:endParaRPr sz="1200">
                      <a:latin typeface="Times New Roman" panose="02020603050405020304" charset="0"/>
                      <a:cs typeface="Times New Roman" panose="0202060305040502030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'[1]normal density'!$A$2:$A$12</c:f>
              <c:numCache>
                <c:formatCode>General</c:formatCode>
                <c:ptCount val="11"/>
                <c:pt idx="0">
                  <c:v>0</c:v>
                </c:pt>
                <c:pt idx="1">
                  <c:v>0.0058</c:v>
                </c:pt>
                <c:pt idx="2">
                  <c:v>0.149</c:v>
                </c:pt>
                <c:pt idx="3">
                  <c:v>0.239</c:v>
                </c:pt>
                <c:pt idx="4">
                  <c:v>0.27</c:v>
                </c:pt>
                <c:pt idx="5">
                  <c:v>0.366</c:v>
                </c:pt>
                <c:pt idx="6">
                  <c:v>0.527</c:v>
                </c:pt>
                <c:pt idx="7">
                  <c:v>0.561</c:v>
                </c:pt>
                <c:pt idx="8">
                  <c:v>0.749</c:v>
                </c:pt>
                <c:pt idx="9">
                  <c:v>0.783</c:v>
                </c:pt>
                <c:pt idx="10">
                  <c:v>1</c:v>
                </c:pt>
              </c:numCache>
            </c:numRef>
          </c:xVal>
          <c:yVal>
            <c:numRef>
              <c:f>'[1]normal density'!$B$2:$B$12</c:f>
              <c:numCache>
                <c:formatCode>General</c:formatCode>
                <c:ptCount val="11"/>
                <c:pt idx="0">
                  <c:v>3.584</c:v>
                </c:pt>
                <c:pt idx="1">
                  <c:v>3.721</c:v>
                </c:pt>
                <c:pt idx="2">
                  <c:v>3.948</c:v>
                </c:pt>
                <c:pt idx="3">
                  <c:v>4.157</c:v>
                </c:pt>
                <c:pt idx="4">
                  <c:v>4.227</c:v>
                </c:pt>
                <c:pt idx="5">
                  <c:v>4.452</c:v>
                </c:pt>
                <c:pt idx="6">
                  <c:v>4.769</c:v>
                </c:pt>
                <c:pt idx="7">
                  <c:v>4.847</c:v>
                </c:pt>
                <c:pt idx="8">
                  <c:v>5.261</c:v>
                </c:pt>
                <c:pt idx="9">
                  <c:v>5.37</c:v>
                </c:pt>
                <c:pt idx="10">
                  <c:v>5.721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806990"/>
        <c:axId val="96505080"/>
      </c:scatterChart>
      <c:valAx>
        <c:axId val="76780699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>
                    <a:latin typeface="Times New Roman" panose="02020603050405020304" charset="0"/>
                    <a:cs typeface="Times New Roman" panose="02020603050405020304" charset="0"/>
                  </a:rPr>
                  <a:t>X</a:t>
                </a:r>
                <a:r>
                  <a:rPr lang="en-US" altLang="zh-CN" sz="1800" baseline="-250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latin typeface="Times New Roman" panose="02020603050405020304" charset="0"/>
                    <a:cs typeface="Times New Roman" panose="02020603050405020304" charset="0"/>
                  </a:rPr>
                  <a:t>Fe</a:t>
                </a:r>
                <a:endParaRPr lang="en-US" altLang="zh-CN" sz="1800" baseline="-25000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05080"/>
        <c:crosses val="autoZero"/>
        <c:crossBetween val="midCat"/>
      </c:valAx>
      <c:valAx>
        <c:axId val="96505080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Density (g/cm</a:t>
                </a:r>
                <a:r>
                  <a:rPr lang="en-US" altLang="zh-CN" sz="1200" baseline="300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3</a:t>
                </a:r>
                <a:r>
                  <a:rPr lang="en-US" altLang="zh-CN" sz="1200"/>
                  <a:t>)</a:t>
                </a:r>
                <a:endParaRPr lang="en-US" altLang="zh-CN" sz="1200"/>
              </a:p>
            </c:rich>
          </c:tx>
          <c:layout>
            <c:manualLayout>
              <c:xMode val="edge"/>
              <c:yMode val="edge"/>
              <c:x val="0.0298421052631579"/>
              <c:y val="0.2655555555555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80699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22860</xdr:colOff>
      <xdr:row>22</xdr:row>
      <xdr:rowOff>110490</xdr:rowOff>
    </xdr:from>
    <xdr:to>
      <xdr:col>15</xdr:col>
      <xdr:colOff>41910</xdr:colOff>
      <xdr:row>38</xdr:row>
      <xdr:rowOff>8890</xdr:rowOff>
    </xdr:to>
    <xdr:graphicFrame>
      <xdr:nvGraphicFramePr>
        <xdr:cNvPr id="2" name="图表 1"/>
        <xdr:cNvGraphicFramePr/>
      </xdr:nvGraphicFramePr>
      <xdr:xfrm>
        <a:off x="7567295" y="411099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qz18\Desktop\Lunar%20Fp\GeoPS\CMB%20equilibriu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-iron-FeO 4.5GPa_IW-0.2"/>
      <sheetName val="Aggragate"/>
      <sheetName val="CMB profile"/>
      <sheetName val="Mw60 density calculating"/>
      <sheetName val="Mw80 density calculating"/>
      <sheetName val="normal density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0</v>
          </cell>
          <cell r="B2">
            <v>3.584</v>
          </cell>
        </row>
        <row r="3">
          <cell r="A3">
            <v>0.0058</v>
          </cell>
          <cell r="B3">
            <v>3.721</v>
          </cell>
        </row>
        <row r="4">
          <cell r="A4">
            <v>0.149</v>
          </cell>
          <cell r="B4">
            <v>3.948</v>
          </cell>
        </row>
        <row r="5">
          <cell r="A5">
            <v>0.239</v>
          </cell>
          <cell r="B5">
            <v>4.157</v>
          </cell>
        </row>
        <row r="6">
          <cell r="A6">
            <v>0.27</v>
          </cell>
          <cell r="B6">
            <v>4.227</v>
          </cell>
        </row>
        <row r="7">
          <cell r="A7">
            <v>0.366</v>
          </cell>
          <cell r="B7">
            <v>4.452</v>
          </cell>
        </row>
        <row r="8">
          <cell r="A8">
            <v>0.527</v>
          </cell>
          <cell r="B8">
            <v>4.769</v>
          </cell>
        </row>
        <row r="9">
          <cell r="A9">
            <v>0.561</v>
          </cell>
          <cell r="B9">
            <v>4.847</v>
          </cell>
        </row>
        <row r="10">
          <cell r="A10">
            <v>0.749</v>
          </cell>
          <cell r="B10">
            <v>5.261</v>
          </cell>
        </row>
        <row r="11">
          <cell r="A11">
            <v>0.783</v>
          </cell>
          <cell r="B11">
            <v>5.37</v>
          </cell>
        </row>
        <row r="12">
          <cell r="A12">
            <v>1</v>
          </cell>
          <cell r="B12">
            <v>5.721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8"/>
  <sheetViews>
    <sheetView tabSelected="1" zoomScale="85" zoomScaleNormal="85" workbookViewId="0">
      <selection activeCell="D38" sqref="D38"/>
    </sheetView>
  </sheetViews>
  <sheetFormatPr defaultColWidth="9" defaultRowHeight="14"/>
  <cols>
    <col min="1" max="1" width="9" style="1"/>
    <col min="2" max="5" width="12.8181818181818" style="1"/>
    <col min="6" max="6" width="14" style="1"/>
    <col min="7" max="7" width="12.8181818181818" style="1"/>
    <col min="8" max="8" width="10.5454545454545" style="2"/>
    <col min="9" max="9" width="10.3727272727273" style="1"/>
    <col min="10" max="10" width="10.5454545454545" style="1" customWidth="1"/>
    <col min="11" max="11" width="11.2727272727273" style="1" customWidth="1"/>
    <col min="12" max="12" width="8.54545454545454" style="1" customWidth="1"/>
    <col min="13" max="15" width="12.8181818181818" style="1" customWidth="1"/>
    <col min="16" max="16384" width="9" style="1"/>
  </cols>
  <sheetData>
    <row r="1" s="1" customFormat="1" spans="1:8">
      <c r="A1" s="3" t="s">
        <v>0</v>
      </c>
      <c r="H1" s="2"/>
    </row>
    <row r="2" s="1" customFormat="1" spans="1:20">
      <c r="A2" s="4" t="s">
        <v>1</v>
      </c>
      <c r="H2" s="2"/>
      <c r="L2" s="11"/>
      <c r="M2" s="11"/>
      <c r="N2" s="11"/>
      <c r="O2" s="2"/>
      <c r="P2" s="2"/>
      <c r="Q2" s="2"/>
      <c r="R2" s="2"/>
      <c r="S2" s="2"/>
      <c r="T2" s="2"/>
    </row>
    <row r="3" s="1" customFormat="1" spans="1:20">
      <c r="A3" s="2"/>
      <c r="B3" s="2" t="s">
        <v>2</v>
      </c>
      <c r="C3" s="2" t="s">
        <v>3</v>
      </c>
      <c r="D3" s="2" t="s">
        <v>4</v>
      </c>
      <c r="E3" s="2"/>
      <c r="F3" s="2" t="s">
        <v>5</v>
      </c>
      <c r="G3" s="2"/>
      <c r="H3" s="2"/>
      <c r="P3" s="2"/>
      <c r="Q3" s="2"/>
      <c r="R3" s="2"/>
      <c r="S3" s="2"/>
      <c r="T3" s="2"/>
    </row>
    <row r="4" s="1" customFormat="1" ht="17.5" spans="1:20">
      <c r="A4" s="2" t="s">
        <v>6</v>
      </c>
      <c r="B4" s="5">
        <v>3.222</v>
      </c>
      <c r="C4" s="2">
        <v>4.4</v>
      </c>
      <c r="D4" s="2">
        <v>5.268</v>
      </c>
      <c r="E4" s="2" t="s">
        <v>7</v>
      </c>
      <c r="F4" s="2">
        <f>(B25*B10+C25*C10+D25*D10)</f>
        <v>3.53780522493894</v>
      </c>
      <c r="G4" s="2" t="s">
        <v>8</v>
      </c>
      <c r="H4" s="6">
        <v>4.5646763</v>
      </c>
      <c r="I4" s="2"/>
      <c r="J4" s="12" t="s">
        <v>9</v>
      </c>
      <c r="K4" s="13"/>
      <c r="L4" s="13"/>
      <c r="M4" s="13"/>
      <c r="N4" s="14"/>
      <c r="P4" s="2"/>
      <c r="Q4" s="2"/>
      <c r="R4" s="2"/>
      <c r="S4" s="2"/>
      <c r="T4" s="2"/>
    </row>
    <row r="5" s="1" customFormat="1" spans="1:20">
      <c r="A5" s="2" t="s">
        <v>10</v>
      </c>
      <c r="B5" s="2">
        <f>0.0000613*(1-10/H5^0.5)</f>
        <v>4.53070932579907e-5</v>
      </c>
      <c r="C5" s="2">
        <f>0.0000505*(1-10/H5^0.5)</f>
        <v>3.7324766876485e-5</v>
      </c>
      <c r="D5" s="2">
        <f>0.0000201*(1-10/H5^0.5)</f>
        <v>1.48559963211356e-5</v>
      </c>
      <c r="E5" s="2" t="s">
        <v>11</v>
      </c>
      <c r="F5" s="2">
        <f>-3/(3*MIN(B12:D12)+4*MIN(B22:D22))</f>
        <v>-0.00560512580334249</v>
      </c>
      <c r="G5" s="2" t="s">
        <v>12</v>
      </c>
      <c r="H5" s="7">
        <v>1469.15</v>
      </c>
      <c r="J5" s="15" t="s">
        <v>8</v>
      </c>
      <c r="K5" s="11" t="s">
        <v>13</v>
      </c>
      <c r="L5" s="2" t="s">
        <v>2</v>
      </c>
      <c r="M5" s="2" t="s">
        <v>3</v>
      </c>
      <c r="N5" s="16" t="s">
        <v>4</v>
      </c>
      <c r="P5" s="2"/>
      <c r="Q5" s="2"/>
      <c r="R5" s="2"/>
      <c r="S5" s="2"/>
      <c r="T5" s="2"/>
    </row>
    <row r="6" s="1" customFormat="1" spans="1:20">
      <c r="A6" s="2" t="s">
        <v>14</v>
      </c>
      <c r="B6" s="2">
        <f>0.0000613*((H5-298.15)-20*(H5^0.5-298.15^0.5))</f>
        <v>0.0459597093613244</v>
      </c>
      <c r="C6" s="2">
        <f>0.0000505*((H5-298.15)-20*(H5^0.5-298.15^0.5))</f>
        <v>0.0378624033074532</v>
      </c>
      <c r="D6" s="2">
        <f>0.0000201*((I5-298.15)-20*(I5^0.5-298.15^0.5))</f>
        <v>0.000948527276534128</v>
      </c>
      <c r="E6" s="2" t="s">
        <v>15</v>
      </c>
      <c r="F6" s="2">
        <f>-3/(3*MAX(B12:D12)+4*MAX(B22:D22))</f>
        <v>-0.00329090109336695</v>
      </c>
      <c r="G6" s="2"/>
      <c r="H6" s="2"/>
      <c r="J6" s="17">
        <v>4.3663088</v>
      </c>
      <c r="K6" s="18">
        <v>1257</v>
      </c>
      <c r="L6" s="19">
        <v>1.03268472336549</v>
      </c>
      <c r="M6" s="19">
        <v>1.0306268973367</v>
      </c>
      <c r="N6" s="20">
        <v>1.02036670534447</v>
      </c>
      <c r="P6" s="2"/>
      <c r="Q6" s="2"/>
      <c r="R6" s="2"/>
      <c r="S6" s="2"/>
      <c r="T6" s="2"/>
    </row>
    <row r="7" s="1" customFormat="1" spans="1:20">
      <c r="A7" s="2" t="s">
        <v>16</v>
      </c>
      <c r="B7" s="2">
        <f>B4*2.71828^(-B6)</f>
        <v>3.07726927995517</v>
      </c>
      <c r="C7" s="2">
        <f>C4*2.71828^(-C6)</f>
        <v>4.23651993883181</v>
      </c>
      <c r="D7" s="2">
        <f>D4*2.71828^(-D6)</f>
        <v>5.26300553073639</v>
      </c>
      <c r="E7" s="2" t="s">
        <v>17</v>
      </c>
      <c r="F7" s="2">
        <f>C25/(1/(C12-B12)-F5)+D25/(1/(D12-B12)-F5)</f>
        <v>7.49856032341224</v>
      </c>
      <c r="G7" s="2"/>
      <c r="J7" s="17">
        <v>4.3816641</v>
      </c>
      <c r="K7" s="18">
        <v>1267</v>
      </c>
      <c r="L7" s="19">
        <v>1.03279444641844</v>
      </c>
      <c r="M7" s="19">
        <v>1.03072999804731</v>
      </c>
      <c r="N7" s="20">
        <v>1.02043624254037</v>
      </c>
      <c r="P7" s="2"/>
      <c r="Q7" s="2"/>
      <c r="R7" s="2"/>
      <c r="S7" s="2"/>
      <c r="T7" s="2"/>
    </row>
    <row r="8" s="1" customFormat="1" spans="1:14">
      <c r="A8" s="2" t="s">
        <v>18</v>
      </c>
      <c r="B8" s="2">
        <f>0.5*(B24^(2/3)-1)</f>
        <v>0.0113028953802463</v>
      </c>
      <c r="C8" s="2">
        <f>0.5*(C24^(2/3)-1)</f>
        <v>0.0105962293231832</v>
      </c>
      <c r="D8" s="2">
        <f>0.5*(D24^(2/3)-1)</f>
        <v>0.00706310052504588</v>
      </c>
      <c r="E8" s="2" t="s">
        <v>19</v>
      </c>
      <c r="F8" s="2">
        <f>B25/(1/(B12-D12)-F6)+C25/(1/(C12-D12)-F6)</f>
        <v>-112.678177498894</v>
      </c>
      <c r="G8" s="2"/>
      <c r="H8" s="2"/>
      <c r="J8" s="17">
        <v>4.396715</v>
      </c>
      <c r="K8" s="18">
        <v>1277</v>
      </c>
      <c r="L8" s="19">
        <v>1.03290196175422</v>
      </c>
      <c r="M8" s="19">
        <v>1.03083102600877</v>
      </c>
      <c r="N8" s="20">
        <v>1.02050438780151</v>
      </c>
    </row>
    <row r="9" s="1" customFormat="1" spans="1:14">
      <c r="A9" s="2" t="s">
        <v>20</v>
      </c>
      <c r="B9" s="2">
        <f>B4*(1+2*B8)^(3/2)</f>
        <v>3.33186892201226</v>
      </c>
      <c r="C9" s="2">
        <f>C4*(1+2*C8)^(3/2)</f>
        <v>4.54060867871032</v>
      </c>
      <c r="D9" s="2">
        <f>D4*(1+2*D8)^(3/2)</f>
        <v>5.3800185276127</v>
      </c>
      <c r="E9" s="2" t="s">
        <v>21</v>
      </c>
      <c r="F9" s="2">
        <f>(B12+(F7/(1+F5*F7))+D12+(F8/(1+F6*F8)))/2</f>
        <v>129.632881220016</v>
      </c>
      <c r="G9" s="2"/>
      <c r="H9" s="2"/>
      <c r="J9" s="17">
        <v>4.4114615</v>
      </c>
      <c r="K9" s="18">
        <v>1287</v>
      </c>
      <c r="L9" s="19">
        <v>1.03300727135433</v>
      </c>
      <c r="M9" s="19">
        <v>1.03092998297726</v>
      </c>
      <c r="N9" s="20">
        <v>1.02057114194207</v>
      </c>
    </row>
    <row r="10" s="1" customFormat="1" ht="17.5" spans="1:14">
      <c r="A10" s="2" t="s">
        <v>22</v>
      </c>
      <c r="B10" s="2">
        <f>(B9/B4)*B7</f>
        <v>3.18220294182051</v>
      </c>
      <c r="C10" s="2">
        <f>C7*C9/C4</f>
        <v>4.37190436404296</v>
      </c>
      <c r="D10" s="2">
        <f>D9*D7/D4</f>
        <v>5.3749178561674</v>
      </c>
      <c r="E10" s="2" t="s">
        <v>23</v>
      </c>
      <c r="F10" s="2">
        <f>F5*(B12+2*D22)/5/D22</f>
        <v>-0.00544451461631335</v>
      </c>
      <c r="G10" s="2"/>
      <c r="H10" s="2"/>
      <c r="J10" s="17">
        <v>4.4259036</v>
      </c>
      <c r="K10" s="18">
        <v>1297</v>
      </c>
      <c r="L10" s="19">
        <v>1.03311037715977</v>
      </c>
      <c r="M10" s="19">
        <v>1.03102687067298</v>
      </c>
      <c r="N10" s="20">
        <v>1.02063650575946</v>
      </c>
    </row>
    <row r="11" s="1" customFormat="1" spans="1:20">
      <c r="A11" s="2" t="s">
        <v>24</v>
      </c>
      <c r="B11" s="2">
        <f>B5*((B9/B4)^(-B16))</f>
        <v>3.76767259967584e-5</v>
      </c>
      <c r="C11" s="2">
        <f>C5*((C9/C4)^(-C16))</f>
        <v>3.14938353334722e-5</v>
      </c>
      <c r="D11" s="2">
        <f>D5*((D9/D4)^(-D16))</f>
        <v>1.35062266863162e-5</v>
      </c>
      <c r="E11" s="2" t="s">
        <v>25</v>
      </c>
      <c r="F11" s="2">
        <f>F6*(D12+2*B22)/5/B22</f>
        <v>-0.0033414978232552</v>
      </c>
      <c r="G11" s="2"/>
      <c r="H11" s="2"/>
      <c r="J11" s="17">
        <v>4.4400413</v>
      </c>
      <c r="K11" s="18">
        <v>1307</v>
      </c>
      <c r="L11" s="19">
        <v>1.03321128106881</v>
      </c>
      <c r="M11" s="19">
        <v>1.03112169077842</v>
      </c>
      <c r="N11" s="20">
        <v>1.02070048003393</v>
      </c>
      <c r="P11" s="2"/>
      <c r="Q11" s="2"/>
      <c r="R11" s="2"/>
      <c r="S11" s="2"/>
      <c r="T11" s="2"/>
    </row>
    <row r="12" s="1" customFormat="1" spans="1:20">
      <c r="A12" s="2" t="s">
        <v>26</v>
      </c>
      <c r="B12" s="2">
        <f>B20*(1+H5*B15*B11)</f>
        <v>121.6362888117</v>
      </c>
      <c r="C12" s="2">
        <f>C20*(1+H5*C15*C11)</f>
        <v>136.219950485217</v>
      </c>
      <c r="D12" s="2">
        <v>212</v>
      </c>
      <c r="E12" s="2" t="s">
        <v>27</v>
      </c>
      <c r="F12" s="2">
        <f>B25/(2/(B22-D22)-F10)+C25/(2/(C22-D22)-F10)</f>
        <v>9.94642485260808</v>
      </c>
      <c r="H12" s="2"/>
      <c r="J12" s="17">
        <v>4.4538746</v>
      </c>
      <c r="K12" s="18">
        <v>1317</v>
      </c>
      <c r="L12" s="19">
        <v>1.03330998493745</v>
      </c>
      <c r="M12" s="19">
        <v>1.03121444493868</v>
      </c>
      <c r="N12" s="20">
        <v>1.02076306552866</v>
      </c>
      <c r="P12" s="2"/>
      <c r="Q12" s="2"/>
      <c r="R12" s="2"/>
      <c r="S12" s="2"/>
      <c r="T12" s="2"/>
    </row>
    <row r="13" s="1" customFormat="1" spans="1:20">
      <c r="A13" s="2" t="s">
        <v>28</v>
      </c>
      <c r="B13" s="2">
        <v>81.6</v>
      </c>
      <c r="C13" s="2">
        <v>51.22</v>
      </c>
      <c r="D13" s="2">
        <v>42.8</v>
      </c>
      <c r="E13" s="2" t="s">
        <v>29</v>
      </c>
      <c r="F13" s="2">
        <f>(C25/(2/(C21-B21)-F11)+(D25/(2/(D21-B21)-F11)))</f>
        <v>-2.37321127188514</v>
      </c>
      <c r="G13" s="2"/>
      <c r="H13" s="2"/>
      <c r="J13" s="17">
        <v>4.4674035</v>
      </c>
      <c r="K13" s="18">
        <v>1327</v>
      </c>
      <c r="L13" s="19">
        <v>1.03340649057991</v>
      </c>
      <c r="M13" s="19">
        <v>1.03130513476192</v>
      </c>
      <c r="N13" s="20">
        <v>1.02082426298987</v>
      </c>
      <c r="P13" s="2"/>
      <c r="Q13" s="2"/>
      <c r="R13" s="2"/>
      <c r="S13" s="2"/>
      <c r="T13" s="2"/>
    </row>
    <row r="14" s="1" customFormat="1" spans="1:20">
      <c r="A14" s="2" t="s">
        <v>30</v>
      </c>
      <c r="B14" s="2">
        <v>1.6</v>
      </c>
      <c r="C14" s="2">
        <v>1.71</v>
      </c>
      <c r="D14" s="2" t="s">
        <v>31</v>
      </c>
      <c r="E14" s="2" t="s">
        <v>32</v>
      </c>
      <c r="F14" s="2">
        <f>(D22+(F12/(1+F10*F12)/2)+B22+(F13/(1+F11*F13)/2))/2</f>
        <v>57.7803320988481</v>
      </c>
      <c r="G14" s="2"/>
      <c r="H14" s="2"/>
      <c r="J14" s="17">
        <v>4.480628</v>
      </c>
      <c r="K14" s="18">
        <v>1337</v>
      </c>
      <c r="L14" s="19">
        <v>1.03350079976584</v>
      </c>
      <c r="M14" s="19">
        <v>1.03139376181713</v>
      </c>
      <c r="N14" s="20">
        <v>1.02088407314632</v>
      </c>
      <c r="P14" s="2"/>
      <c r="Q14" s="2"/>
      <c r="R14" s="2"/>
      <c r="S14" s="2"/>
      <c r="T14" s="2"/>
    </row>
    <row r="15" s="1" customFormat="1" spans="1:20">
      <c r="A15" s="2" t="s">
        <v>33</v>
      </c>
      <c r="B15" s="2">
        <v>1.29</v>
      </c>
      <c r="C15" s="2">
        <v>1.21</v>
      </c>
      <c r="D15" s="2">
        <v>1.728</v>
      </c>
      <c r="E15" s="2" t="s">
        <v>34</v>
      </c>
      <c r="F15" s="2" t="s">
        <v>35</v>
      </c>
      <c r="G15" s="2" t="s">
        <v>7</v>
      </c>
      <c r="H15" s="2"/>
      <c r="J15" s="17">
        <v>4.4935481</v>
      </c>
      <c r="K15" s="18">
        <v>1347</v>
      </c>
      <c r="L15" s="19">
        <v>1.03359291422664</v>
      </c>
      <c r="M15" s="19">
        <v>1.03148032763912</v>
      </c>
      <c r="N15" s="20">
        <v>1.02094249671048</v>
      </c>
      <c r="P15" s="2"/>
      <c r="Q15" s="2"/>
      <c r="R15" s="2"/>
      <c r="S15" s="2"/>
      <c r="T15" s="2"/>
    </row>
    <row r="16" s="1" customFormat="1" spans="1:20">
      <c r="A16" s="2" t="s">
        <v>36</v>
      </c>
      <c r="B16" s="2">
        <v>5.5</v>
      </c>
      <c r="C16" s="2">
        <v>5.4</v>
      </c>
      <c r="D16" s="2">
        <f>D15+D18</f>
        <v>4.527</v>
      </c>
      <c r="E16" s="8">
        <f>((F9+F14*4/3)/F4)^0.5</f>
        <v>7.64320050682922</v>
      </c>
      <c r="F16" s="8">
        <f>(F14/F4)^0.5</f>
        <v>4.04131829898463</v>
      </c>
      <c r="G16" s="8">
        <f>F4</f>
        <v>3.53780522493894</v>
      </c>
      <c r="H16" s="2"/>
      <c r="J16" s="17">
        <v>4.5061638</v>
      </c>
      <c r="K16" s="18">
        <v>1357</v>
      </c>
      <c r="L16" s="19">
        <v>1.03368283564939</v>
      </c>
      <c r="M16" s="19">
        <v>1.03156483372376</v>
      </c>
      <c r="N16" s="20">
        <v>1.02099953437741</v>
      </c>
      <c r="P16" s="2"/>
      <c r="Q16" s="2"/>
      <c r="R16" s="2"/>
      <c r="S16" s="2"/>
      <c r="T16" s="2"/>
    </row>
    <row r="17" s="1" customFormat="1" spans="1:20">
      <c r="A17" s="2" t="s">
        <v>37</v>
      </c>
      <c r="B17" s="2">
        <v>127.3</v>
      </c>
      <c r="C17" s="2">
        <v>136.26</v>
      </c>
      <c r="D17" s="2">
        <v>208</v>
      </c>
      <c r="H17" s="2"/>
      <c r="J17" s="17">
        <v>4.5184751</v>
      </c>
      <c r="K17" s="18">
        <v>1367</v>
      </c>
      <c r="L17" s="19">
        <v>1.0337705656801</v>
      </c>
      <c r="M17" s="19">
        <v>1.03164728153056</v>
      </c>
      <c r="N17" s="20">
        <v>1.02105518682542</v>
      </c>
      <c r="P17" s="2"/>
      <c r="Q17" s="2"/>
      <c r="R17" s="2"/>
      <c r="S17" s="2"/>
      <c r="T17" s="2"/>
    </row>
    <row r="18" s="1" customFormat="1" spans="1:14">
      <c r="A18" s="2" t="s">
        <v>38</v>
      </c>
      <c r="B18" s="2">
        <v>4.2</v>
      </c>
      <c r="C18" s="2">
        <v>4.88</v>
      </c>
      <c r="D18" s="2">
        <v>2.799</v>
      </c>
      <c r="E18" s="2"/>
      <c r="F18" s="2"/>
      <c r="G18" s="2"/>
      <c r="H18" s="2"/>
      <c r="J18" s="17">
        <v>4.530482</v>
      </c>
      <c r="K18" s="18">
        <v>1377</v>
      </c>
      <c r="L18" s="19">
        <v>1.03385610592326</v>
      </c>
      <c r="M18" s="19">
        <v>1.03172767248228</v>
      </c>
      <c r="N18" s="20">
        <v>1.02110945471595</v>
      </c>
    </row>
    <row r="19" s="1" customFormat="1" spans="1:14">
      <c r="A19" s="2" t="s">
        <v>39</v>
      </c>
      <c r="B19" s="2">
        <f>B17*(2.71828^(-B16*B6))</f>
        <v>98.8662843571671</v>
      </c>
      <c r="C19" s="2">
        <f>C17*(2.71828^(-C16*C6))</f>
        <v>111.064152522221</v>
      </c>
      <c r="D19" s="2">
        <f>D17*(2.71828^(-D16*D6))</f>
        <v>207.108766978582</v>
      </c>
      <c r="E19" s="2"/>
      <c r="F19" s="2"/>
      <c r="G19" s="2"/>
      <c r="H19" s="2"/>
      <c r="J19" s="17">
        <v>4.5421845</v>
      </c>
      <c r="K19" s="18">
        <v>1387</v>
      </c>
      <c r="L19" s="19">
        <v>1.03393945794194</v>
      </c>
      <c r="M19" s="19">
        <v>1.03180600796503</v>
      </c>
      <c r="N19" s="20">
        <v>1.02116233869361</v>
      </c>
    </row>
    <row r="20" s="1" customFormat="1" spans="1:14">
      <c r="A20" s="2" t="s">
        <v>40</v>
      </c>
      <c r="B20" s="2">
        <f>B19*(1-B8*(5-3*B18))*((1+2*B8)^2.5)</f>
        <v>113.529693871013</v>
      </c>
      <c r="C20" s="2">
        <f>C19*(1-C8*(5-3*C18))*((1+2*C8)^2.5)</f>
        <v>128.997912873215</v>
      </c>
      <c r="D20" s="2">
        <f>D19*(1-D8*(5-3*D18))*((1+2*D8)^2.5)</f>
        <v>219.647178438781</v>
      </c>
      <c r="E20" s="2"/>
      <c r="F20" s="2"/>
      <c r="G20" s="2"/>
      <c r="H20" s="2"/>
      <c r="J20" s="17">
        <v>4.5535826</v>
      </c>
      <c r="K20" s="18">
        <v>1397</v>
      </c>
      <c r="L20" s="19">
        <v>1.03402062325794</v>
      </c>
      <c r="M20" s="19">
        <v>1.03188228932843</v>
      </c>
      <c r="N20" s="20">
        <v>1.02121383938624</v>
      </c>
    </row>
    <row r="21" s="1" customFormat="1" spans="1:14">
      <c r="A21" s="2" t="s">
        <v>41</v>
      </c>
      <c r="B21" s="2">
        <f>B13*2.71828^(-B16*B6)</f>
        <v>63.373831921012</v>
      </c>
      <c r="C21" s="2">
        <f>C13*2.71828^(-C16*C6)</f>
        <v>41.7489057110535</v>
      </c>
      <c r="D21" s="2">
        <f>D13*2.71828^(-D16*D6)</f>
        <v>42.6166116667468</v>
      </c>
      <c r="E21" s="2"/>
      <c r="F21" s="2"/>
      <c r="G21" s="2"/>
      <c r="H21" s="2"/>
      <c r="J21" s="21">
        <v>4.5646763</v>
      </c>
      <c r="K21" s="22">
        <v>1407</v>
      </c>
      <c r="L21" s="23">
        <v>1.03409960335576</v>
      </c>
      <c r="M21" s="23">
        <v>1.03195651788871</v>
      </c>
      <c r="N21" s="24">
        <v>1.0212639574056</v>
      </c>
    </row>
    <row r="22" s="1" customFormat="1" spans="1:12">
      <c r="A22" s="2" t="s">
        <v>42</v>
      </c>
      <c r="B22" s="2">
        <f>B21*((1+2*B8)^2.5)*(1-B8*(5-3*B14*B19/B21))</f>
        <v>68.9011063297159</v>
      </c>
      <c r="C22" s="2">
        <f>C21*((1+2*C8)^2.5)*(1-C8*(5-3*C14*C19/C21))</f>
        <v>48.02739087896</v>
      </c>
      <c r="D22" s="2">
        <f>D21*((1+2*D8)^2.5)*(1-D8*(5))</f>
        <v>42.5788791532064</v>
      </c>
      <c r="E22" s="2"/>
      <c r="F22" s="2"/>
      <c r="G22" s="2"/>
      <c r="H22" s="2"/>
      <c r="J22" s="11"/>
      <c r="K22" s="11"/>
      <c r="L22" s="11"/>
    </row>
    <row r="23" s="1" customFormat="1" spans="1:12">
      <c r="A23" s="2" t="s">
        <v>8</v>
      </c>
      <c r="B23" s="2">
        <f>1.5*B17*(B24^(7/3)-B24^(5/3))</f>
        <v>4.56467630054171</v>
      </c>
      <c r="C23" s="2">
        <f>1.5*C17*(C24^(7/3)-C24^(5/3))</f>
        <v>4.56467630045507</v>
      </c>
      <c r="D23" s="2">
        <f>1.5*D17*(D24^(7/3)-D24^(5/3))</f>
        <v>4.56467630015056</v>
      </c>
      <c r="E23" s="2"/>
      <c r="F23" s="2"/>
      <c r="G23" s="2"/>
      <c r="H23" s="2"/>
      <c r="J23" s="11"/>
      <c r="K23" s="11"/>
      <c r="L23" s="2"/>
    </row>
    <row r="24" s="1" customFormat="1" spans="1:12">
      <c r="A24" s="2" t="s">
        <v>43</v>
      </c>
      <c r="B24" s="9">
        <v>1.03409960335576</v>
      </c>
      <c r="C24" s="9">
        <v>1.03195651788871</v>
      </c>
      <c r="D24" s="9">
        <v>1.0212639574056</v>
      </c>
      <c r="E24" s="2"/>
      <c r="F24" s="2"/>
      <c r="G24" s="2"/>
      <c r="H24" s="2"/>
      <c r="J24" s="11"/>
      <c r="K24" s="11"/>
      <c r="L24" s="11"/>
    </row>
    <row r="25" s="1" customFormat="1" spans="1:12">
      <c r="A25" s="2" t="s">
        <v>44</v>
      </c>
      <c r="B25" s="2">
        <f>(B28/B10)/(B28/B10+C28/C10+D28/D10)</f>
        <v>0.78433765282315</v>
      </c>
      <c r="C25" s="2">
        <f>(C28/C10)/(B28/B10+C28/C10+D28/D10)</f>
        <v>0.116931390175911</v>
      </c>
      <c r="D25" s="2">
        <f>(D28/D10)/(B28/B10+C28/C10+D28/D10)</f>
        <v>0.0987309570009385</v>
      </c>
      <c r="E25" s="2"/>
      <c r="F25" s="2"/>
      <c r="G25" s="2"/>
      <c r="H25" s="2"/>
      <c r="J25" s="11"/>
      <c r="K25" s="11"/>
      <c r="L25" s="2"/>
    </row>
    <row r="26" s="1" customFormat="1" spans="1:12">
      <c r="A26" s="2" t="s">
        <v>34</v>
      </c>
      <c r="B26" s="2">
        <f>(((B12+(4/3)*B22)/B10)^0.5)</f>
        <v>8.19104872671233</v>
      </c>
      <c r="C26" s="2">
        <f>(((C12+(4/3)*C22)/C10)^0.5)</f>
        <v>6.7679626518389</v>
      </c>
      <c r="D26" s="2">
        <f>(((D12+(4/3)*D22)/D10)^0.5)</f>
        <v>7.07140914162126</v>
      </c>
      <c r="E26" s="2"/>
      <c r="F26" s="2"/>
      <c r="G26" s="2"/>
      <c r="H26" s="2"/>
      <c r="J26" s="11"/>
      <c r="K26" s="11"/>
      <c r="L26" s="11"/>
    </row>
    <row r="27" s="1" customFormat="1" spans="1:12">
      <c r="A27" s="2" t="s">
        <v>35</v>
      </c>
      <c r="B27" s="2">
        <f>(B22/B10)^0.5</f>
        <v>4.65317259052804</v>
      </c>
      <c r="C27" s="2">
        <f>(C22/C10)^0.5</f>
        <v>3.31443243566347</v>
      </c>
      <c r="D27" s="2">
        <f>(D22/D10)^0.5</f>
        <v>2.81456444242416</v>
      </c>
      <c r="E27" s="2"/>
      <c r="F27" s="2"/>
      <c r="G27" s="2"/>
      <c r="H27" s="2"/>
      <c r="J27" s="11"/>
      <c r="K27" s="11"/>
      <c r="L27" s="2"/>
    </row>
    <row r="28" s="1" customFormat="1" spans="1:12">
      <c r="A28" s="2" t="s">
        <v>45</v>
      </c>
      <c r="B28" s="10">
        <v>70.55</v>
      </c>
      <c r="C28" s="10">
        <v>14.45</v>
      </c>
      <c r="D28" s="10">
        <v>15</v>
      </c>
      <c r="E28" s="2"/>
      <c r="F28" s="2"/>
      <c r="G28" s="2"/>
      <c r="H28" s="2"/>
      <c r="J28" s="11"/>
      <c r="K28" s="11"/>
      <c r="L28" s="11"/>
    </row>
    <row r="29" s="1" customFormat="1" spans="1:12">
      <c r="A29" s="2"/>
      <c r="B29" s="2"/>
      <c r="C29" s="2"/>
      <c r="D29" s="2"/>
      <c r="E29" s="2"/>
      <c r="F29" s="2"/>
      <c r="G29" s="2"/>
      <c r="H29" s="2"/>
      <c r="J29" s="11"/>
      <c r="K29" s="11"/>
      <c r="L29" s="2"/>
    </row>
    <row r="30" s="1" customFormat="1" spans="1:12">
      <c r="A30" s="4" t="s">
        <v>46</v>
      </c>
      <c r="B30" s="2"/>
      <c r="C30" s="2"/>
      <c r="D30" s="2"/>
      <c r="E30" s="2"/>
      <c r="F30" s="2"/>
      <c r="G30" s="2"/>
      <c r="H30" s="2"/>
      <c r="J30" s="11"/>
      <c r="K30" s="11"/>
      <c r="L30" s="11"/>
    </row>
    <row r="31" s="1" customFormat="1" spans="1:12">
      <c r="A31" s="2"/>
      <c r="B31" s="2"/>
      <c r="C31" s="2"/>
      <c r="D31" s="2"/>
      <c r="E31" s="2"/>
      <c r="F31" s="2"/>
      <c r="G31" s="2"/>
      <c r="H31" s="2"/>
      <c r="J31" s="11"/>
      <c r="K31" s="11"/>
      <c r="L31" s="11"/>
    </row>
    <row r="32" s="1" customFormat="1" spans="1:12">
      <c r="A32" s="2"/>
      <c r="B32" s="2"/>
      <c r="C32" s="2"/>
      <c r="D32" s="2"/>
      <c r="E32" s="2"/>
      <c r="F32" s="2"/>
      <c r="G32" s="2"/>
      <c r="H32" s="2"/>
      <c r="J32" s="11"/>
      <c r="K32" s="11"/>
      <c r="L32" s="2"/>
    </row>
    <row r="33" s="1" customFormat="1" spans="2:12">
      <c r="B33" s="2"/>
      <c r="C33" s="2"/>
      <c r="D33" s="2"/>
      <c r="H33" s="2"/>
      <c r="J33" s="11"/>
      <c r="K33" s="11"/>
      <c r="L33" s="11"/>
    </row>
    <row r="34" s="1" customFormat="1" spans="2:12">
      <c r="B34" s="2"/>
      <c r="C34" s="2"/>
      <c r="D34" s="2"/>
      <c r="H34" s="2"/>
      <c r="J34" s="11"/>
      <c r="K34" s="11"/>
      <c r="L34" s="2"/>
    </row>
    <row r="35" s="1" customFormat="1" spans="2:8">
      <c r="B35" s="2"/>
      <c r="C35" s="2"/>
      <c r="D35" s="2"/>
      <c r="H35" s="2"/>
    </row>
    <row r="36" s="1" customFormat="1" spans="2:8">
      <c r="B36" s="2"/>
      <c r="C36" s="2"/>
      <c r="D36" s="2"/>
      <c r="H36" s="2"/>
    </row>
    <row r="37" s="1" customFormat="1" spans="2:8">
      <c r="B37" s="2"/>
      <c r="C37" s="2"/>
      <c r="D37" s="2"/>
      <c r="H37" s="2"/>
    </row>
    <row r="38" s="1" customFormat="1" spans="2:8">
      <c r="B38" s="2"/>
      <c r="C38" s="2"/>
      <c r="D38" s="2"/>
      <c r="H38" s="2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calculation of Mw + 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许潜智</dc:creator>
  <cp:lastModifiedBy>Q.X. (QianZhi)</cp:lastModifiedBy>
  <dcterms:created xsi:type="dcterms:W3CDTF">2023-05-12T11:15:00Z</dcterms:created>
  <dcterms:modified xsi:type="dcterms:W3CDTF">2025-07-31T04:50:33Z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0B4A8757B4DD4535A1478C9093F7FB5B_12</vt:lpwstr>
  </property>
</Properties>
</file>