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_video_\_product_\润欧\"/>
    </mc:Choice>
  </mc:AlternateContent>
  <xr:revisionPtr revIDLastSave="0" documentId="13_ncr:1_{30D11944-E0D1-4968-BA1C-C1149800AC1F}" xr6:coauthVersionLast="47" xr6:coauthVersionMax="47" xr10:uidLastSave="{00000000-0000-0000-0000-000000000000}"/>
  <bookViews>
    <workbookView xWindow="-8211" yWindow="17520" windowWidth="16457" windowHeight="8649" xr2:uid="{A1035668-96FD-4567-8AB6-476E54D5DE6A}"/>
  </bookViews>
  <sheets>
    <sheet name="Sheet1" sheetId="1" r:id="rId1"/>
  </sheets>
  <definedNames>
    <definedName name="_xlnm._FilterDatabase" localSheetId="0" hidden="1">Sheet1!$A$1:$W$51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0" i="1" l="1"/>
  <c r="S51" i="1"/>
  <c r="S52" i="1"/>
  <c r="S53" i="1"/>
  <c r="S54" i="1"/>
  <c r="S55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21" i="1"/>
  <c r="S22" i="1"/>
  <c r="S23" i="1"/>
  <c r="S24" i="1"/>
  <c r="S25" i="1"/>
  <c r="S26" i="1"/>
  <c r="S27" i="1"/>
  <c r="S28" i="1"/>
  <c r="S29" i="1"/>
  <c r="S30" i="1"/>
  <c r="S3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" i="1"/>
  <c r="R48" i="1"/>
  <c r="R49" i="1"/>
  <c r="R50" i="1"/>
  <c r="R51" i="1"/>
  <c r="R52" i="1"/>
  <c r="R53" i="1"/>
  <c r="R54" i="1"/>
  <c r="R55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2" i="1"/>
  <c r="Q45" i="1"/>
  <c r="Q46" i="1"/>
  <c r="Q47" i="1"/>
  <c r="Q48" i="1"/>
  <c r="Q49" i="1"/>
  <c r="Q50" i="1"/>
  <c r="Q51" i="1"/>
  <c r="Q52" i="1"/>
  <c r="Q53" i="1"/>
  <c r="Q54" i="1"/>
  <c r="Q55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2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29" i="1"/>
  <c r="P30" i="1"/>
  <c r="P31" i="1"/>
  <c r="P32" i="1"/>
  <c r="P33" i="1"/>
  <c r="P34" i="1"/>
  <c r="P35" i="1"/>
  <c r="P36" i="1"/>
  <c r="P37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3" i="1"/>
  <c r="P4" i="1"/>
  <c r="P5" i="1"/>
  <c r="P6" i="1"/>
  <c r="P7" i="1"/>
  <c r="P8" i="1"/>
  <c r="P9" i="1"/>
  <c r="P10" i="1"/>
  <c r="P11" i="1"/>
  <c r="P12" i="1"/>
  <c r="P13" i="1"/>
  <c r="P14" i="1"/>
  <c r="P2" i="1"/>
  <c r="I16" i="1"/>
  <c r="I11" i="1"/>
  <c r="I15" i="1"/>
  <c r="I26" i="1"/>
  <c r="I31" i="1"/>
  <c r="I28" i="1"/>
  <c r="I21" i="1"/>
  <c r="I24" i="1"/>
  <c r="I23" i="1"/>
  <c r="I19" i="1"/>
  <c r="I8" i="1"/>
  <c r="I2" i="1"/>
  <c r="I10" i="1"/>
  <c r="I12" i="1"/>
  <c r="I20" i="1"/>
  <c r="I13" i="1"/>
  <c r="I25" i="1"/>
  <c r="I18" i="1"/>
  <c r="I22" i="1"/>
  <c r="I9" i="1"/>
  <c r="I14" i="1"/>
  <c r="I3" i="1"/>
  <c r="I4" i="1"/>
  <c r="I33" i="1"/>
  <c r="I54" i="1"/>
  <c r="I32" i="1"/>
  <c r="I30" i="1"/>
  <c r="I53" i="1"/>
  <c r="I40" i="1"/>
  <c r="I55" i="1"/>
  <c r="I48" i="1"/>
  <c r="I45" i="1"/>
  <c r="I50" i="1"/>
  <c r="I49" i="1"/>
  <c r="I42" i="1"/>
  <c r="I27" i="1"/>
  <c r="I7" i="1"/>
  <c r="I34" i="1"/>
  <c r="I6" i="1"/>
  <c r="I5" i="1"/>
  <c r="I41" i="1"/>
  <c r="I35" i="1"/>
  <c r="I29" i="1"/>
  <c r="I37" i="1"/>
  <c r="I43" i="1"/>
  <c r="I38" i="1"/>
  <c r="I46" i="1"/>
  <c r="I47" i="1"/>
  <c r="I51" i="1"/>
  <c r="I39" i="1"/>
  <c r="I36" i="1"/>
  <c r="I52" i="1"/>
  <c r="I44" i="1"/>
  <c r="I17" i="1"/>
  <c r="AA5" i="1" l="1"/>
  <c r="U11" i="1"/>
  <c r="AC5" i="1"/>
  <c r="AB5" i="1"/>
  <c r="U16" i="1"/>
  <c r="X16" i="1"/>
  <c r="W16" i="1"/>
  <c r="V16" i="1"/>
  <c r="W11" i="1"/>
  <c r="V11" i="1"/>
  <c r="X11" i="1"/>
  <c r="X39" i="1"/>
  <c r="U15" i="1"/>
  <c r="X15" i="1"/>
  <c r="W15" i="1"/>
  <c r="V15" i="1"/>
  <c r="X26" i="1"/>
  <c r="X36" i="1"/>
  <c r="X42" i="1"/>
  <c r="X35" i="1"/>
  <c r="X24" i="1"/>
  <c r="X53" i="1"/>
  <c r="X21" i="1"/>
  <c r="X28" i="1"/>
  <c r="X44" i="1"/>
  <c r="X3" i="1"/>
  <c r="X45" i="1"/>
  <c r="X47" i="1"/>
  <c r="X22" i="1"/>
  <c r="X54" i="1"/>
  <c r="X23" i="1"/>
  <c r="X37" i="1"/>
  <c r="X48" i="1"/>
  <c r="X20" i="1"/>
  <c r="X29" i="1"/>
  <c r="X7" i="1"/>
  <c r="X41" i="1"/>
  <c r="X38" i="1"/>
  <c r="X34" i="1"/>
  <c r="X31" i="1"/>
  <c r="X50" i="1"/>
  <c r="X30" i="1"/>
  <c r="X17" i="1"/>
  <c r="X33" i="1"/>
  <c r="X43" i="1"/>
  <c r="X46" i="1"/>
  <c r="X55" i="1"/>
  <c r="X8" i="1"/>
  <c r="X25" i="1"/>
  <c r="X9" i="1"/>
  <c r="W9" i="1"/>
  <c r="V9" i="1"/>
  <c r="X49" i="1"/>
  <c r="X27" i="1"/>
  <c r="X14" i="1"/>
  <c r="X40" i="1"/>
  <c r="X18" i="1"/>
  <c r="X52" i="1"/>
  <c r="X19" i="1"/>
  <c r="X32" i="1"/>
  <c r="X13" i="1"/>
  <c r="X51" i="1"/>
  <c r="X10" i="1"/>
  <c r="X12" i="1"/>
  <c r="X2" i="1"/>
  <c r="V2" i="1"/>
  <c r="U3" i="1"/>
  <c r="W2" i="1"/>
  <c r="V3" i="1"/>
  <c r="W12" i="1"/>
  <c r="W20" i="1"/>
  <c r="W10" i="1"/>
  <c r="W44" i="1"/>
  <c r="V25" i="1"/>
  <c r="W22" i="1"/>
  <c r="W43" i="1"/>
  <c r="W26" i="1"/>
  <c r="W29" i="1"/>
  <c r="W40" i="1"/>
  <c r="W52" i="1"/>
  <c r="W51" i="1"/>
  <c r="W36" i="1"/>
  <c r="W14" i="1"/>
  <c r="W13" i="1"/>
  <c r="W30" i="1"/>
  <c r="W46" i="1"/>
  <c r="W3" i="1"/>
  <c r="W24" i="1"/>
  <c r="W55" i="1"/>
  <c r="W8" i="1"/>
  <c r="W54" i="1"/>
  <c r="W37" i="1"/>
  <c r="W28" i="1"/>
  <c r="W17" i="1"/>
  <c r="W42" i="1"/>
  <c r="W32" i="1"/>
  <c r="W41" i="1"/>
  <c r="W45" i="1"/>
  <c r="W31" i="1"/>
  <c r="W47" i="1"/>
  <c r="W39" i="1"/>
  <c r="W19" i="1"/>
  <c r="W7" i="1"/>
  <c r="W23" i="1"/>
  <c r="W48" i="1"/>
  <c r="W33" i="1"/>
  <c r="W53" i="1"/>
  <c r="W35" i="1"/>
  <c r="W38" i="1"/>
  <c r="W50" i="1"/>
  <c r="W27" i="1"/>
  <c r="W34" i="1"/>
  <c r="W18" i="1"/>
  <c r="W49" i="1"/>
  <c r="W21" i="1"/>
  <c r="U49" i="1"/>
  <c r="W25" i="1"/>
  <c r="V52" i="1"/>
  <c r="V45" i="1"/>
  <c r="V41" i="1"/>
  <c r="V42" i="1"/>
  <c r="V34" i="1"/>
  <c r="V18" i="1"/>
  <c r="V55" i="1"/>
  <c r="V8" i="1"/>
  <c r="V7" i="1"/>
  <c r="V54" i="1"/>
  <c r="V28" i="1"/>
  <c r="V29" i="1"/>
  <c r="V17" i="1"/>
  <c r="V33" i="1"/>
  <c r="V20" i="1"/>
  <c r="V47" i="1"/>
  <c r="V46" i="1"/>
  <c r="V39" i="1"/>
  <c r="V23" i="1"/>
  <c r="V37" i="1"/>
  <c r="V19" i="1"/>
  <c r="V43" i="1"/>
  <c r="V32" i="1"/>
  <c r="V36" i="1"/>
  <c r="V40" i="1"/>
  <c r="V30" i="1"/>
  <c r="V31" i="1"/>
  <c r="V27" i="1"/>
  <c r="V26" i="1"/>
  <c r="V48" i="1"/>
  <c r="V44" i="1"/>
  <c r="V13" i="1"/>
  <c r="V53" i="1"/>
  <c r="V35" i="1"/>
  <c r="V12" i="1"/>
  <c r="V51" i="1"/>
  <c r="V21" i="1"/>
  <c r="V50" i="1"/>
  <c r="V24" i="1"/>
  <c r="U17" i="1"/>
  <c r="V22" i="1"/>
  <c r="V14" i="1"/>
  <c r="V49" i="1"/>
  <c r="V38" i="1"/>
  <c r="V10" i="1"/>
  <c r="U47" i="1"/>
  <c r="U21" i="1"/>
  <c r="U25" i="1"/>
  <c r="U52" i="1"/>
  <c r="U27" i="1"/>
  <c r="U34" i="1"/>
  <c r="U44" i="1"/>
  <c r="U23" i="1"/>
  <c r="U46" i="1"/>
  <c r="U39" i="1"/>
  <c r="U36" i="1"/>
  <c r="U18" i="1"/>
  <c r="U30" i="1"/>
  <c r="U40" i="1"/>
  <c r="U2" i="1"/>
  <c r="U45" i="1"/>
  <c r="U7" i="1"/>
  <c r="U51" i="1"/>
  <c r="U26" i="1"/>
  <c r="U41" i="1"/>
  <c r="U48" i="1"/>
  <c r="U13" i="1"/>
  <c r="U29" i="1"/>
  <c r="U53" i="1"/>
  <c r="U35" i="1"/>
  <c r="U12" i="1"/>
  <c r="U22" i="1"/>
  <c r="U14" i="1"/>
  <c r="U10" i="1"/>
  <c r="U32" i="1"/>
  <c r="U55" i="1"/>
  <c r="U8" i="1"/>
  <c r="U31" i="1"/>
  <c r="U50" i="1"/>
  <c r="U54" i="1"/>
  <c r="U37" i="1"/>
  <c r="U28" i="1"/>
  <c r="U38" i="1"/>
  <c r="U33" i="1"/>
  <c r="U43" i="1"/>
  <c r="U20" i="1"/>
  <c r="U42" i="1"/>
  <c r="U19" i="1"/>
  <c r="U24" i="1"/>
  <c r="U9" i="1"/>
  <c r="X5" i="1"/>
  <c r="W5" i="1"/>
  <c r="V5" i="1"/>
  <c r="U5" i="1"/>
  <c r="V4" i="1"/>
  <c r="X4" i="1"/>
  <c r="U4" i="1"/>
  <c r="Z5" i="1"/>
  <c r="U6" i="1" s="1"/>
  <c r="W4" i="1"/>
  <c r="X6" i="1" l="1"/>
  <c r="V6" i="1"/>
  <c r="W6" i="1"/>
</calcChain>
</file>

<file path=xl/sharedStrings.xml><?xml version="1.0" encoding="utf-8"?>
<sst xmlns="http://schemas.openxmlformats.org/spreadsheetml/2006/main" count="135" uniqueCount="83">
  <si>
    <t>ETH Zurich</t>
    <phoneticPr fontId="1" type="noConversion"/>
  </si>
  <si>
    <t>Total income</t>
    <phoneticPr fontId="1" type="noConversion"/>
  </si>
  <si>
    <t>University of Trento</t>
    <phoneticPr fontId="1" type="noConversion"/>
  </si>
  <si>
    <t>Tuition fees</t>
    <phoneticPr fontId="1" type="noConversion"/>
  </si>
  <si>
    <t>EPFL</t>
    <phoneticPr fontId="1" type="noConversion"/>
  </si>
  <si>
    <t>University of Edinburgh</t>
    <phoneticPr fontId="1" type="noConversion"/>
  </si>
  <si>
    <t>Imperial College London</t>
    <phoneticPr fontId="1" type="noConversion"/>
  </si>
  <si>
    <t>University College London</t>
    <phoneticPr fontId="1" type="noConversion"/>
  </si>
  <si>
    <t>University of Oxford</t>
    <phoneticPr fontId="1" type="noConversion"/>
  </si>
  <si>
    <t>Student</t>
    <phoneticPr fontId="1" type="noConversion"/>
  </si>
  <si>
    <t>TU Delft</t>
    <phoneticPr fontId="1" type="noConversion"/>
  </si>
  <si>
    <t>University of Cambridge</t>
    <phoneticPr fontId="1" type="noConversion"/>
  </si>
  <si>
    <t>Aarhus University</t>
    <phoneticPr fontId="1" type="noConversion"/>
  </si>
  <si>
    <t>Year</t>
    <phoneticPr fontId="1" type="noConversion"/>
  </si>
  <si>
    <t>University</t>
    <phoneticPr fontId="1" type="noConversion"/>
  </si>
  <si>
    <t>Donations</t>
    <phoneticPr fontId="1" type="noConversion"/>
  </si>
  <si>
    <t>University of Warwick</t>
    <phoneticPr fontId="1" type="noConversion"/>
  </si>
  <si>
    <t>King's College London</t>
    <phoneticPr fontId="1" type="noConversion"/>
  </si>
  <si>
    <t>University of Bristol</t>
    <phoneticPr fontId="1" type="noConversion"/>
  </si>
  <si>
    <t>University of Liverpool</t>
    <phoneticPr fontId="1" type="noConversion"/>
  </si>
  <si>
    <t>University of Birmingham</t>
    <phoneticPr fontId="1" type="noConversion"/>
  </si>
  <si>
    <t>Public Grants</t>
    <phoneticPr fontId="1" type="noConversion"/>
  </si>
  <si>
    <t>University of Surrey</t>
    <phoneticPr fontId="1" type="noConversion"/>
  </si>
  <si>
    <t>Queen Mary University of London</t>
    <phoneticPr fontId="1" type="noConversion"/>
  </si>
  <si>
    <t>Royal Holloway University of London</t>
    <phoneticPr fontId="1" type="noConversion"/>
  </si>
  <si>
    <t>Cardiff University</t>
    <phoneticPr fontId="1" type="noConversion"/>
  </si>
  <si>
    <t>University of Glasgow</t>
    <phoneticPr fontId="1" type="noConversion"/>
  </si>
  <si>
    <t>University of Southampton</t>
    <phoneticPr fontId="1" type="noConversion"/>
  </si>
  <si>
    <t>University of Bath</t>
    <phoneticPr fontId="1" type="noConversion"/>
  </si>
  <si>
    <t>University of Sheffield</t>
    <phoneticPr fontId="1" type="noConversion"/>
  </si>
  <si>
    <t>Queen's University Belfast</t>
    <phoneticPr fontId="1" type="noConversion"/>
  </si>
  <si>
    <t>University of Leeds</t>
    <phoneticPr fontId="1" type="noConversion"/>
  </si>
  <si>
    <t>University of York</t>
    <phoneticPr fontId="1" type="noConversion"/>
  </si>
  <si>
    <t>Durham University</t>
    <phoneticPr fontId="1" type="noConversion"/>
  </si>
  <si>
    <t>Lancaster University</t>
    <phoneticPr fontId="1" type="noConversion"/>
  </si>
  <si>
    <t>Open University UK</t>
    <phoneticPr fontId="1" type="noConversion"/>
  </si>
  <si>
    <t>University of Manchester</t>
    <phoneticPr fontId="1" type="noConversion"/>
  </si>
  <si>
    <t>University of Nottingham</t>
    <phoneticPr fontId="1" type="noConversion"/>
  </si>
  <si>
    <t>Sapienza University of Rome</t>
    <phoneticPr fontId="1" type="noConversion"/>
  </si>
  <si>
    <t>Country</t>
    <phoneticPr fontId="1" type="noConversion"/>
  </si>
  <si>
    <t>IT</t>
    <phoneticPr fontId="1" type="noConversion"/>
  </si>
  <si>
    <t>UK</t>
    <phoneticPr fontId="1" type="noConversion"/>
  </si>
  <si>
    <t>Politecnico di Milano</t>
    <phoneticPr fontId="1" type="noConversion"/>
  </si>
  <si>
    <t>Bocconi University</t>
    <phoneticPr fontId="1" type="noConversion"/>
  </si>
  <si>
    <t>University of Pisa</t>
    <phoneticPr fontId="1" type="noConversion"/>
  </si>
  <si>
    <t>CH</t>
    <phoneticPr fontId="1" type="noConversion"/>
  </si>
  <si>
    <t>University of Zurich</t>
    <phoneticPr fontId="1" type="noConversion"/>
  </si>
  <si>
    <t>NL</t>
    <phoneticPr fontId="1" type="noConversion"/>
  </si>
  <si>
    <t>University of Amsterdam</t>
    <phoneticPr fontId="1" type="noConversion"/>
  </si>
  <si>
    <t>Radboud University</t>
    <phoneticPr fontId="1" type="noConversion"/>
  </si>
  <si>
    <t>VU Amsterdam</t>
    <phoneticPr fontId="1" type="noConversion"/>
  </si>
  <si>
    <t>TU Eindhoven</t>
    <phoneticPr fontId="1" type="noConversion"/>
  </si>
  <si>
    <t>Utrecht University</t>
    <phoneticPr fontId="1" type="noConversion"/>
  </si>
  <si>
    <t>DK</t>
    <phoneticPr fontId="1" type="noConversion"/>
  </si>
  <si>
    <t>University of Copenhagen</t>
    <phoneticPr fontId="1" type="noConversion"/>
  </si>
  <si>
    <t>IT University of Copenhagen</t>
    <phoneticPr fontId="1" type="noConversion"/>
  </si>
  <si>
    <t>DTU</t>
    <phoneticPr fontId="1" type="noConversion"/>
  </si>
  <si>
    <t>Aalborg University</t>
    <phoneticPr fontId="1" type="noConversion"/>
  </si>
  <si>
    <t>University of Southern Denmark (SDU)</t>
    <phoneticPr fontId="1" type="noConversion"/>
  </si>
  <si>
    <t>Leiden University</t>
    <phoneticPr fontId="1" type="noConversion"/>
  </si>
  <si>
    <t>University of Groningen</t>
    <phoneticPr fontId="1" type="noConversion"/>
  </si>
  <si>
    <t>Maastricht University</t>
    <phoneticPr fontId="1" type="noConversion"/>
  </si>
  <si>
    <t>Tilburg University</t>
    <phoneticPr fontId="1" type="noConversion"/>
  </si>
  <si>
    <t>University of Twente</t>
    <phoneticPr fontId="1" type="noConversion"/>
  </si>
  <si>
    <t>Nature Index share</t>
    <phoneticPr fontId="1" type="noConversion"/>
  </si>
  <si>
    <t>Reputation</t>
    <phoneticPr fontId="1" type="noConversion"/>
  </si>
  <si>
    <t>Education</t>
    <phoneticPr fontId="1" type="noConversion"/>
  </si>
  <si>
    <t>Ac. Staff</t>
    <phoneticPr fontId="1" type="noConversion"/>
  </si>
  <si>
    <t>Teaching</t>
    <phoneticPr fontId="1" type="noConversion"/>
  </si>
  <si>
    <r>
      <t xml:space="preserve">Total income, </t>
    </r>
    <r>
      <rPr>
        <b/>
        <sz val="11"/>
        <color theme="1"/>
        <rFont val="等线"/>
        <family val="2"/>
        <charset val="134"/>
        <scheme val="minor"/>
      </rPr>
      <t>€</t>
    </r>
    <phoneticPr fontId="1" type="noConversion"/>
  </si>
  <si>
    <t>CS Rankings Count</t>
    <phoneticPr fontId="1" type="noConversion"/>
  </si>
  <si>
    <t>CS Rankings Faculty</t>
    <phoneticPr fontId="1" type="noConversion"/>
  </si>
  <si>
    <t>SE</t>
    <phoneticPr fontId="1" type="noConversion"/>
  </si>
  <si>
    <t>KTH Royal Institute of Technology</t>
    <phoneticPr fontId="1" type="noConversion"/>
  </si>
  <si>
    <t>Scuola Superiore Sant'Anna</t>
    <phoneticPr fontId="1" type="noConversion"/>
  </si>
  <si>
    <t>University of Padova</t>
    <phoneticPr fontId="1" type="noConversion"/>
  </si>
  <si>
    <t>NSR</t>
    <phoneticPr fontId="1" type="noConversion"/>
  </si>
  <si>
    <t>CSR</t>
    <phoneticPr fontId="1" type="noConversion"/>
  </si>
  <si>
    <t>NST</t>
    <phoneticPr fontId="1" type="noConversion"/>
  </si>
  <si>
    <t>CST</t>
    <phoneticPr fontId="1" type="noConversion"/>
  </si>
  <si>
    <t>SCST</t>
    <phoneticPr fontId="1" type="noConversion"/>
  </si>
  <si>
    <t>R</t>
    <phoneticPr fontId="1" type="noConversion"/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</si>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</sst>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0_);[Red]\(0\)"/>
    <numFmt numFmtId="177" formatCode="[$£-809]#,##0"/>
    <numFmt numFmtId="178" formatCode="[$€-2]\ #,##0"/>
    <numFmt numFmtId="179" formatCode="#,##0\ [$CHF]" x16r2:formatCode16="#,##0\ [$CHF-gsw-CH]"/>
    <numFmt numFmtId="180" formatCode="#,##0\ [$kr.-406]"/>
    <numFmt numFmtId="181" formatCode="0_ "/>
    <numFmt numFmtId="182" formatCode="0.0_);[Red]\(0.0\)"/>
    <numFmt numFmtId="183" formatCode="#,##0\ [$kr-41D]"/>
    <numFmt numFmtId="184" formatCode="0.00_);[Red]\(0.00\)"/>
    <numFmt numFmtId="189" formatCode="0.0000000_);[Red]\(0.0000000\)"/>
  </numFmts>
  <fonts count="7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b/>
      <sz val="11"/>
      <color theme="1"/>
      <name val="等线"/>
      <scheme val="minor"/>
    </font>
    <font>
      <b/>
      <sz val="11"/>
      <color rgb="FFFF0000"/>
      <name val="等线"/>
      <scheme val="minor"/>
    </font>
    <font>
      <sz val="11"/>
      <color theme="1"/>
      <name val="等线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182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81" fontId="0" fillId="2" borderId="0" xfId="0" applyNumberForma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8" fontId="4" fillId="0" borderId="0" xfId="0" applyNumberFormat="1" applyFont="1" applyAlignment="1">
      <alignment horizontal="center" vertical="center"/>
    </xf>
    <xf numFmtId="181" fontId="4" fillId="0" borderId="0" xfId="0" applyNumberFormat="1" applyFont="1" applyAlignment="1">
      <alignment horizontal="center" vertical="center"/>
    </xf>
    <xf numFmtId="181" fontId="4" fillId="2" borderId="0" xfId="0" applyNumberFormat="1" applyFont="1" applyFill="1" applyAlignment="1">
      <alignment horizontal="center" vertical="center"/>
    </xf>
    <xf numFmtId="182" fontId="4" fillId="0" borderId="0" xfId="0" applyNumberFormat="1" applyFont="1" applyAlignment="1">
      <alignment horizontal="center" vertical="center"/>
    </xf>
    <xf numFmtId="183" fontId="0" fillId="0" borderId="0" xfId="0" applyNumberFormat="1" applyAlignment="1">
      <alignment horizontal="center" vertical="center"/>
    </xf>
    <xf numFmtId="184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189" fontId="6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ADB2E-31B7-43C5-A48F-1390AF0B99DF}">
  <dimension ref="A1:AC67"/>
  <sheetViews>
    <sheetView tabSelected="1" zoomScale="85" zoomScaleNormal="85" workbookViewId="0">
      <selection activeCell="AA54" sqref="AA54"/>
    </sheetView>
  </sheetViews>
  <sheetFormatPr defaultRowHeight="14.15"/>
  <cols>
    <col min="1" max="1" width="7.85546875" style="1" bestFit="1" customWidth="1"/>
    <col min="2" max="2" width="32.78515625" style="1" bestFit="1" customWidth="1"/>
    <col min="3" max="3" width="5.2109375" style="1" bestFit="1" customWidth="1"/>
    <col min="4" max="4" width="1.78515625" style="9" customWidth="1"/>
    <col min="5" max="5" width="15.2109375" style="3" bestFit="1" customWidth="1"/>
    <col min="6" max="6" width="16.78515625" style="3" bestFit="1" customWidth="1"/>
    <col min="7" max="7" width="14.2109375" style="3" bestFit="1" customWidth="1"/>
    <col min="8" max="8" width="16.78515625" style="3" bestFit="1" customWidth="1"/>
    <col min="9" max="9" width="14.35546875" style="4" bestFit="1" customWidth="1"/>
    <col min="10" max="10" width="8.140625" style="2" bestFit="1" customWidth="1"/>
    <col min="11" max="11" width="7.78515625" style="2" bestFit="1" customWidth="1"/>
    <col min="12" max="12" width="17.78515625" style="2" bestFit="1" customWidth="1"/>
    <col min="13" max="13" width="17.640625" style="8" bestFit="1" customWidth="1"/>
    <col min="14" max="14" width="18.5" style="2" bestFit="1" customWidth="1"/>
    <col min="15" max="15" width="1.78515625" style="10" customWidth="1"/>
    <col min="16" max="16" width="10.5703125" style="2" bestFit="1" customWidth="1"/>
    <col min="17" max="17" width="8.78515625" style="7" bestFit="1" customWidth="1"/>
    <col min="18" max="18" width="4.78515625" style="2" bestFit="1" customWidth="1"/>
    <col min="19" max="19" width="4.7109375" style="2" bestFit="1" customWidth="1"/>
    <col min="20" max="20" width="1.78515625" style="10" customWidth="1"/>
    <col min="21" max="21" width="9.5" style="7" bestFit="1" customWidth="1"/>
    <col min="22" max="23" width="4.7109375" style="2" bestFit="1" customWidth="1"/>
    <col min="24" max="24" width="5.35546875" style="2" bestFit="1" customWidth="1"/>
    <col min="25" max="25" width="1.78515625" style="10" customWidth="1"/>
    <col min="26" max="29" width="10.140625" style="1" bestFit="1" customWidth="1"/>
    <col min="30" max="16384" width="9.140625" style="1"/>
  </cols>
  <sheetData>
    <row r="1" spans="1:29">
      <c r="A1" s="11" t="s">
        <v>39</v>
      </c>
      <c r="B1" s="11" t="s">
        <v>14</v>
      </c>
      <c r="C1" s="11" t="s">
        <v>13</v>
      </c>
      <c r="D1" s="12"/>
      <c r="E1" s="13" t="s">
        <v>15</v>
      </c>
      <c r="F1" s="13" t="s">
        <v>21</v>
      </c>
      <c r="G1" s="13" t="s">
        <v>3</v>
      </c>
      <c r="H1" s="13" t="s">
        <v>1</v>
      </c>
      <c r="I1" s="15" t="s">
        <v>69</v>
      </c>
      <c r="J1" s="14" t="s">
        <v>67</v>
      </c>
      <c r="K1" s="14" t="s">
        <v>9</v>
      </c>
      <c r="L1" s="14" t="s">
        <v>64</v>
      </c>
      <c r="M1" s="18" t="s">
        <v>70</v>
      </c>
      <c r="N1" s="14" t="s">
        <v>71</v>
      </c>
      <c r="O1" s="17"/>
      <c r="P1" s="14" t="s">
        <v>65</v>
      </c>
      <c r="Q1" s="16" t="s">
        <v>68</v>
      </c>
      <c r="R1" s="14" t="s">
        <v>76</v>
      </c>
      <c r="S1" s="14" t="s">
        <v>77</v>
      </c>
      <c r="T1" s="17"/>
      <c r="U1" s="16" t="s">
        <v>66</v>
      </c>
      <c r="V1" s="14" t="s">
        <v>78</v>
      </c>
      <c r="W1" s="14" t="s">
        <v>79</v>
      </c>
      <c r="X1" s="14" t="s">
        <v>80</v>
      </c>
      <c r="Y1" s="17"/>
      <c r="Z1" s="11" t="s">
        <v>65</v>
      </c>
      <c r="AA1" s="11" t="s">
        <v>68</v>
      </c>
      <c r="AB1" s="11" t="s">
        <v>76</v>
      </c>
      <c r="AC1" s="11" t="s">
        <v>77</v>
      </c>
    </row>
    <row r="2" spans="1:29">
      <c r="A2" s="1" t="s">
        <v>53</v>
      </c>
      <c r="B2" s="1" t="s">
        <v>55</v>
      </c>
      <c r="C2" s="1">
        <v>2022</v>
      </c>
      <c r="E2" s="6"/>
      <c r="F2" s="6">
        <v>302021000</v>
      </c>
      <c r="G2" s="6">
        <v>8434000</v>
      </c>
      <c r="H2" s="6">
        <v>392998000</v>
      </c>
      <c r="I2" s="4">
        <f>H2*0.13</f>
        <v>51089740</v>
      </c>
      <c r="J2" s="2">
        <v>275</v>
      </c>
      <c r="K2" s="2">
        <v>1851</v>
      </c>
      <c r="L2" s="2">
        <v>0.37</v>
      </c>
      <c r="M2" s="8">
        <v>2</v>
      </c>
      <c r="N2" s="2">
        <v>46</v>
      </c>
      <c r="P2" s="7">
        <f>LOG((E2+F2)/(G2+F2)+1,Z$3)</f>
        <v>78.188784431545827</v>
      </c>
      <c r="Q2" s="7">
        <f>LOG(J2*I2/K2^2,AA$3)</f>
        <v>51.448562533042931</v>
      </c>
      <c r="R2" s="2">
        <f>LOG(L2/K2+1,AB$3)</f>
        <v>2.9484990285826593</v>
      </c>
      <c r="S2" s="2">
        <f>LOG(M2*N2/K2+1,AC$3)</f>
        <v>592.80363493025345</v>
      </c>
      <c r="U2" s="7">
        <f>(P2+Q2)/2</f>
        <v>64.818673482294372</v>
      </c>
      <c r="V2" s="2">
        <f>(P2+Q2+R2)/3</f>
        <v>44.195281997723804</v>
      </c>
      <c r="W2" s="2">
        <f>(P2+Q2+S2)/3</f>
        <v>240.81366063161408</v>
      </c>
      <c r="X2" s="2">
        <f>(P2*2+Q2*2+R2+S2)/6</f>
        <v>142.50447131466893</v>
      </c>
      <c r="Z2" s="21" t="s">
        <v>81</v>
      </c>
      <c r="AA2" s="21"/>
      <c r="AB2" s="21"/>
      <c r="AC2" s="21"/>
    </row>
    <row r="3" spans="1:29">
      <c r="A3" s="1" t="s">
        <v>45</v>
      </c>
      <c r="B3" s="1" t="s">
        <v>4</v>
      </c>
      <c r="C3" s="1">
        <v>2023</v>
      </c>
      <c r="E3" s="5">
        <v>23000000</v>
      </c>
      <c r="F3" s="5">
        <v>765000000</v>
      </c>
      <c r="G3" s="5">
        <v>22000000</v>
      </c>
      <c r="H3" s="5">
        <v>1158000000</v>
      </c>
      <c r="I3" s="4">
        <f>H3*1.02</f>
        <v>1181160000</v>
      </c>
      <c r="J3" s="2">
        <v>3976</v>
      </c>
      <c r="K3" s="2">
        <v>12720</v>
      </c>
      <c r="L3" s="2">
        <v>188.78</v>
      </c>
      <c r="M3" s="8">
        <v>6</v>
      </c>
      <c r="N3" s="2">
        <v>61</v>
      </c>
      <c r="P3" s="7">
        <f t="shared" ref="P3:P55" si="0">LOG((E3+F3)/(G3+F3)+1,Z$3)</f>
        <v>79.83565349240375</v>
      </c>
      <c r="Q3" s="7">
        <f t="shared" ref="Q3:Q55" si="1">LOG(J3*I3/K3^2,AA$3)</f>
        <v>63.551887252063864</v>
      </c>
      <c r="R3" s="2">
        <f t="shared" ref="R3:R55" si="2">LOG(L3/K3+1,AB$3)</f>
        <v>217.32765059996461</v>
      </c>
      <c r="S3" s="2">
        <f t="shared" ref="S3:S55" si="3">LOG(M3*N3/K3+1,AC$3)</f>
        <v>346.67675879056873</v>
      </c>
      <c r="U3" s="7">
        <f>(P3+Q3)/2</f>
        <v>71.693770372233814</v>
      </c>
      <c r="V3" s="2">
        <f>(P3+Q3+R3)/3</f>
        <v>120.23839711481075</v>
      </c>
      <c r="W3" s="2">
        <f>(P3+Q3+S3)/3</f>
        <v>163.35476651167878</v>
      </c>
      <c r="X3" s="2">
        <f>(P3*2+Q3*2+R3+S3)/6</f>
        <v>141.79658181324476</v>
      </c>
      <c r="Z3" s="22">
        <v>1.0087280000000001</v>
      </c>
      <c r="AA3" s="22">
        <v>1.1755</v>
      </c>
      <c r="AB3" s="22">
        <v>1.0000677899999999</v>
      </c>
      <c r="AC3" s="22">
        <v>1.0000818300000001</v>
      </c>
    </row>
    <row r="4" spans="1:29">
      <c r="A4" s="1" t="s">
        <v>45</v>
      </c>
      <c r="B4" s="1" t="s">
        <v>0</v>
      </c>
      <c r="C4" s="1">
        <v>2023</v>
      </c>
      <c r="E4" s="5">
        <v>132000000</v>
      </c>
      <c r="F4" s="5">
        <v>1365000000</v>
      </c>
      <c r="G4" s="5">
        <v>37000000</v>
      </c>
      <c r="H4" s="5">
        <v>1956000000</v>
      </c>
      <c r="I4" s="4">
        <f>H4*1.02</f>
        <v>1995120000</v>
      </c>
      <c r="J4" s="2">
        <v>7447</v>
      </c>
      <c r="K4" s="2">
        <v>25022</v>
      </c>
      <c r="L4" s="2">
        <v>346.55</v>
      </c>
      <c r="M4" s="8">
        <v>10</v>
      </c>
      <c r="N4" s="2">
        <v>47</v>
      </c>
      <c r="P4" s="7">
        <f t="shared" si="0"/>
        <v>83.596673637384427</v>
      </c>
      <c r="Q4" s="7">
        <f t="shared" si="1"/>
        <v>62.306212696760568</v>
      </c>
      <c r="R4" s="2">
        <f t="shared" si="2"/>
        <v>202.90966479723835</v>
      </c>
      <c r="S4" s="2">
        <f t="shared" si="3"/>
        <v>227.42271713892637</v>
      </c>
      <c r="U4" s="7">
        <f>(P4+Q4)/2</f>
        <v>72.951443167072497</v>
      </c>
      <c r="V4" s="2">
        <f>(P4+Q4+R4)/3</f>
        <v>116.27085037712777</v>
      </c>
      <c r="W4" s="2">
        <f>(P4+Q4+S4)/3</f>
        <v>124.44186782435713</v>
      </c>
      <c r="X4" s="2">
        <f>(P4*2+Q4*2+R4+S4)/6</f>
        <v>120.35635910074245</v>
      </c>
      <c r="Z4" s="21" t="s">
        <v>82</v>
      </c>
      <c r="AA4" s="21"/>
      <c r="AB4" s="21"/>
      <c r="AC4" s="21"/>
    </row>
    <row r="5" spans="1:29">
      <c r="A5" s="1" t="s">
        <v>41</v>
      </c>
      <c r="B5" s="1" t="s">
        <v>11</v>
      </c>
      <c r="C5" s="1">
        <v>2023</v>
      </c>
      <c r="E5" s="3">
        <v>132400000</v>
      </c>
      <c r="F5" s="3">
        <v>207600000</v>
      </c>
      <c r="G5" s="3">
        <v>390100000</v>
      </c>
      <c r="H5" s="3">
        <v>2518300000</v>
      </c>
      <c r="I5" s="4">
        <f>H5*1.17</f>
        <v>2946411000</v>
      </c>
      <c r="J5" s="2">
        <v>5515</v>
      </c>
      <c r="K5" s="2">
        <v>22610</v>
      </c>
      <c r="L5" s="2">
        <v>366.52</v>
      </c>
      <c r="M5" s="8">
        <v>3.2</v>
      </c>
      <c r="N5" s="2">
        <v>48</v>
      </c>
      <c r="P5" s="7">
        <f t="shared" si="0"/>
        <v>51.822130474144437</v>
      </c>
      <c r="Q5" s="7">
        <f t="shared" si="1"/>
        <v>64.113769270903632</v>
      </c>
      <c r="R5" s="2">
        <f t="shared" si="2"/>
        <v>237.21911307756977</v>
      </c>
      <c r="S5" s="2">
        <f t="shared" si="3"/>
        <v>82.74177811127494</v>
      </c>
      <c r="U5" s="7">
        <f>(P5+Q5)/2</f>
        <v>57.967949872524031</v>
      </c>
      <c r="V5" s="2">
        <f>(P5+Q5+R5)/3</f>
        <v>117.71833760753928</v>
      </c>
      <c r="W5" s="2">
        <f>(P5+Q5+S5)/3</f>
        <v>66.225892618774324</v>
      </c>
      <c r="X5" s="2">
        <f>(P5*2+Q5*2+R5+S5)/6</f>
        <v>91.972115113156804</v>
      </c>
      <c r="Z5" s="20">
        <f>AVERAGE(P:P)</f>
        <v>50.000124999844942</v>
      </c>
      <c r="AA5" s="20">
        <f t="shared" ref="AA5:AB5" si="4">AVERAGE(Q:Q)</f>
        <v>49.997772168410698</v>
      </c>
      <c r="AB5" s="20">
        <f t="shared" si="4"/>
        <v>49.996440724926892</v>
      </c>
      <c r="AC5" s="20">
        <f>AVERAGE(S:S)</f>
        <v>49.996231026626596</v>
      </c>
    </row>
    <row r="6" spans="1:29">
      <c r="A6" s="1" t="s">
        <v>41</v>
      </c>
      <c r="B6" s="1" t="s">
        <v>8</v>
      </c>
      <c r="C6" s="1">
        <v>2023</v>
      </c>
      <c r="E6" s="3">
        <v>183700000</v>
      </c>
      <c r="F6" s="3">
        <v>229200000</v>
      </c>
      <c r="G6" s="3">
        <v>504200000</v>
      </c>
      <c r="H6" s="3">
        <v>2924700000</v>
      </c>
      <c r="I6" s="4">
        <f>H6*1.17</f>
        <v>3421899000</v>
      </c>
      <c r="J6" s="2">
        <v>6580</v>
      </c>
      <c r="K6" s="2">
        <v>27290</v>
      </c>
      <c r="L6" s="2">
        <v>378.45</v>
      </c>
      <c r="M6" s="8">
        <v>3.6</v>
      </c>
      <c r="N6" s="2">
        <v>50</v>
      </c>
      <c r="P6" s="7">
        <f t="shared" si="0"/>
        <v>51.392019003097033</v>
      </c>
      <c r="Q6" s="7">
        <f t="shared" si="1"/>
        <v>63.804015718398688</v>
      </c>
      <c r="R6" s="2">
        <f t="shared" si="2"/>
        <v>203.1701869575906</v>
      </c>
      <c r="S6" s="2">
        <f t="shared" si="3"/>
        <v>80.342592756189632</v>
      </c>
      <c r="U6" s="7">
        <f>(P6+Q6)/2</f>
        <v>57.59801736074786</v>
      </c>
      <c r="V6" s="2">
        <f>(P6+Q6+R6)/3</f>
        <v>106.12207389302877</v>
      </c>
      <c r="W6" s="2">
        <f>(P6+Q6+S6)/3</f>
        <v>65.179542492561779</v>
      </c>
      <c r="X6" s="2">
        <f>(P6*2+Q6*2+R6+S6)/6</f>
        <v>85.650808192795282</v>
      </c>
    </row>
    <row r="7" spans="1:29">
      <c r="A7" s="1" t="s">
        <v>41</v>
      </c>
      <c r="B7" s="1" t="s">
        <v>6</v>
      </c>
      <c r="C7" s="1">
        <v>2023</v>
      </c>
      <c r="E7" s="3">
        <v>52000000</v>
      </c>
      <c r="F7" s="3">
        <v>183000000</v>
      </c>
      <c r="G7" s="3">
        <v>452000000</v>
      </c>
      <c r="H7" s="3">
        <v>1269000000</v>
      </c>
      <c r="I7" s="4">
        <f>H7*1.17</f>
        <v>1484730000</v>
      </c>
      <c r="J7" s="2">
        <v>4005</v>
      </c>
      <c r="K7" s="2">
        <v>21470</v>
      </c>
      <c r="L7" s="2">
        <v>216.29</v>
      </c>
      <c r="M7" s="8">
        <v>3.6</v>
      </c>
      <c r="N7" s="2">
        <v>53</v>
      </c>
      <c r="P7" s="7">
        <f t="shared" si="0"/>
        <v>36.232849160853171</v>
      </c>
      <c r="Q7" s="7">
        <f t="shared" si="1"/>
        <v>58.536481940313401</v>
      </c>
      <c r="R7" s="2">
        <f t="shared" si="2"/>
        <v>147.86829179194655</v>
      </c>
      <c r="S7" s="2">
        <f t="shared" si="3"/>
        <v>108.12569271143444</v>
      </c>
      <c r="U7" s="7">
        <f>(P7+Q7)/2</f>
        <v>47.384665550583286</v>
      </c>
      <c r="V7" s="2">
        <f>(P7+Q7+R7)/3</f>
        <v>80.879207631037715</v>
      </c>
      <c r="W7" s="2">
        <f>(P7+Q7+S7)/3</f>
        <v>67.631674604200342</v>
      </c>
      <c r="X7" s="2">
        <f>(P7*2+Q7*2+R7+S7)/6</f>
        <v>74.255441117619014</v>
      </c>
    </row>
    <row r="8" spans="1:29">
      <c r="A8" s="1" t="s">
        <v>53</v>
      </c>
      <c r="B8" s="1" t="s">
        <v>56</v>
      </c>
      <c r="C8" s="1">
        <v>2022</v>
      </c>
      <c r="E8" s="6"/>
      <c r="F8" s="6">
        <v>2802082000</v>
      </c>
      <c r="G8" s="6">
        <v>85816000</v>
      </c>
      <c r="H8" s="6">
        <v>5801215000</v>
      </c>
      <c r="I8" s="4">
        <f>H8*0.13</f>
        <v>754157950</v>
      </c>
      <c r="J8" s="2">
        <v>3382</v>
      </c>
      <c r="K8" s="2">
        <v>9957</v>
      </c>
      <c r="L8" s="2">
        <v>77.959999999999994</v>
      </c>
      <c r="M8" s="8">
        <v>1.6</v>
      </c>
      <c r="N8" s="2">
        <v>22</v>
      </c>
      <c r="P8" s="7">
        <f t="shared" si="0"/>
        <v>78.039999186740332</v>
      </c>
      <c r="Q8" s="7">
        <f t="shared" si="1"/>
        <v>62.805660870086676</v>
      </c>
      <c r="R8" s="2">
        <f t="shared" si="2"/>
        <v>115.05294491274363</v>
      </c>
      <c r="S8" s="2">
        <f t="shared" si="3"/>
        <v>43.12735690509848</v>
      </c>
      <c r="U8" s="7">
        <f>(P8+Q8)/2</f>
        <v>70.4228300284135</v>
      </c>
      <c r="V8" s="2">
        <f>(P8+Q8+R8)/3</f>
        <v>85.299534989856866</v>
      </c>
      <c r="W8" s="2">
        <f>(P8+Q8+S8)/3</f>
        <v>61.324338987308494</v>
      </c>
      <c r="X8" s="2">
        <f>(P8*2+Q8*2+R8+S8)/6</f>
        <v>73.311936988582673</v>
      </c>
    </row>
    <row r="9" spans="1:29">
      <c r="A9" s="1" t="s">
        <v>47</v>
      </c>
      <c r="B9" s="1" t="s">
        <v>10</v>
      </c>
      <c r="C9" s="1">
        <v>2022</v>
      </c>
      <c r="E9" s="4"/>
      <c r="F9" s="4">
        <v>575900000</v>
      </c>
      <c r="G9" s="4">
        <v>71400000</v>
      </c>
      <c r="H9" s="4">
        <v>913700000</v>
      </c>
      <c r="I9" s="4">
        <f>H9</f>
        <v>913700000</v>
      </c>
      <c r="J9" s="2">
        <v>6351</v>
      </c>
      <c r="K9" s="2">
        <v>26978</v>
      </c>
      <c r="L9" s="2">
        <v>80.08</v>
      </c>
      <c r="M9" s="8">
        <v>3.5</v>
      </c>
      <c r="N9" s="2">
        <v>76</v>
      </c>
      <c r="P9" s="7">
        <f t="shared" si="0"/>
        <v>73.234313133389634</v>
      </c>
      <c r="Q9" s="7">
        <f t="shared" si="1"/>
        <v>55.560807743740604</v>
      </c>
      <c r="R9" s="2">
        <f t="shared" si="2"/>
        <v>43.723974080405597</v>
      </c>
      <c r="S9" s="2">
        <f t="shared" si="3"/>
        <v>119.90707280317767</v>
      </c>
      <c r="U9" s="7">
        <f>(P9+Q9)/2</f>
        <v>64.397560438565122</v>
      </c>
      <c r="V9" s="2">
        <f>(P9+Q9+R9)/3</f>
        <v>57.506364985845288</v>
      </c>
      <c r="W9" s="2">
        <f>(P9+Q9+S9)/3</f>
        <v>82.90073122676931</v>
      </c>
      <c r="X9" s="2">
        <f>(P9*2+Q9*2+R9+S9)/6</f>
        <v>70.203548106307281</v>
      </c>
    </row>
    <row r="10" spans="1:29">
      <c r="A10" s="1" t="s">
        <v>53</v>
      </c>
      <c r="B10" s="1" t="s">
        <v>54</v>
      </c>
      <c r="C10" s="1">
        <v>2022</v>
      </c>
      <c r="E10" s="6"/>
      <c r="F10" s="6">
        <v>5392321000</v>
      </c>
      <c r="G10" s="6">
        <v>91601000</v>
      </c>
      <c r="H10" s="6">
        <v>9640000000</v>
      </c>
      <c r="I10" s="4">
        <f>H10*0.13</f>
        <v>1253200000</v>
      </c>
      <c r="J10" s="2">
        <v>5809</v>
      </c>
      <c r="K10" s="2">
        <v>27380</v>
      </c>
      <c r="L10" s="2">
        <v>207.48</v>
      </c>
      <c r="M10" s="8">
        <v>2</v>
      </c>
      <c r="N10" s="2">
        <v>43</v>
      </c>
      <c r="P10" s="7">
        <f t="shared" si="0"/>
        <v>78.797467560461584</v>
      </c>
      <c r="Q10" s="7">
        <f t="shared" si="1"/>
        <v>56.780195765611055</v>
      </c>
      <c r="R10" s="2">
        <f t="shared" si="2"/>
        <v>111.36572701626952</v>
      </c>
      <c r="S10" s="2">
        <f t="shared" si="3"/>
        <v>38.32560867379361</v>
      </c>
      <c r="U10" s="7">
        <f>(P10+Q10)/2</f>
        <v>67.788831663036319</v>
      </c>
      <c r="V10" s="2">
        <f>(P10+Q10+R10)/3</f>
        <v>82.31446344744738</v>
      </c>
      <c r="W10" s="2">
        <f>(P10+Q10+S10)/3</f>
        <v>57.967757333288752</v>
      </c>
      <c r="X10" s="2">
        <f>(P10*2+Q10*2+R10+S10)/6</f>
        <v>70.14111039036807</v>
      </c>
    </row>
    <row r="11" spans="1:29">
      <c r="A11" s="1" t="s">
        <v>40</v>
      </c>
      <c r="B11" s="1" t="s">
        <v>74</v>
      </c>
      <c r="C11" s="1">
        <v>2022</v>
      </c>
      <c r="E11" s="4"/>
      <c r="F11" s="4">
        <v>47868762</v>
      </c>
      <c r="G11" s="4">
        <v>3208628</v>
      </c>
      <c r="H11" s="4">
        <v>76603690</v>
      </c>
      <c r="I11" s="4">
        <f>H11</f>
        <v>76603690</v>
      </c>
      <c r="J11" s="2">
        <v>393</v>
      </c>
      <c r="K11" s="2">
        <v>819</v>
      </c>
      <c r="L11" s="2">
        <v>2.85</v>
      </c>
      <c r="M11" s="8">
        <v>1.2</v>
      </c>
      <c r="N11" s="2">
        <v>4</v>
      </c>
      <c r="P11" s="7">
        <f t="shared" si="0"/>
        <v>76.090203315818243</v>
      </c>
      <c r="Q11" s="7">
        <f t="shared" si="1"/>
        <v>66.247507501183605</v>
      </c>
      <c r="R11" s="2">
        <f t="shared" si="2"/>
        <v>51.245471943127654</v>
      </c>
      <c r="S11" s="2">
        <f t="shared" si="3"/>
        <v>71.415584022432398</v>
      </c>
      <c r="U11" s="7">
        <f>(P11+Q11)/2</f>
        <v>71.168855408500917</v>
      </c>
      <c r="V11" s="2">
        <f>(P11+Q11+R11)/3</f>
        <v>64.52772758670983</v>
      </c>
      <c r="W11" s="2">
        <f>(P11+Q11+S11)/3</f>
        <v>71.251098279811416</v>
      </c>
      <c r="X11" s="2">
        <f>(P11*2+Q11*2+R11+S11)/6</f>
        <v>67.88941293326063</v>
      </c>
    </row>
    <row r="12" spans="1:29">
      <c r="A12" s="1" t="s">
        <v>53</v>
      </c>
      <c r="B12" s="1" t="s">
        <v>12</v>
      </c>
      <c r="C12" s="1">
        <v>2022</v>
      </c>
      <c r="E12" s="6"/>
      <c r="F12" s="6">
        <v>4234471000</v>
      </c>
      <c r="G12" s="6">
        <v>64976000</v>
      </c>
      <c r="H12" s="6">
        <v>7316000000</v>
      </c>
      <c r="I12" s="4">
        <f>H12*0.13</f>
        <v>951080000</v>
      </c>
      <c r="J12" s="2">
        <v>4846</v>
      </c>
      <c r="K12" s="2">
        <v>26090</v>
      </c>
      <c r="L12" s="2">
        <v>125.28</v>
      </c>
      <c r="M12" s="8">
        <v>2.8</v>
      </c>
      <c r="N12" s="2">
        <v>33</v>
      </c>
      <c r="P12" s="7">
        <f t="shared" si="0"/>
        <v>78.889737217820525</v>
      </c>
      <c r="Q12" s="7">
        <f t="shared" si="1"/>
        <v>54.550108873971496</v>
      </c>
      <c r="R12" s="2">
        <f t="shared" si="2"/>
        <v>70.666913906247586</v>
      </c>
      <c r="S12" s="2">
        <f t="shared" si="3"/>
        <v>43.205118053391224</v>
      </c>
      <c r="U12" s="7">
        <f>(P12+Q12)/2</f>
        <v>66.71992304589601</v>
      </c>
      <c r="V12" s="2">
        <f>(P12+Q12+R12)/3</f>
        <v>68.035586666013202</v>
      </c>
      <c r="W12" s="2">
        <f>(P12+Q12+S12)/3</f>
        <v>58.881654715061082</v>
      </c>
      <c r="X12" s="2">
        <f>(P12*2+Q12*2+R12+S12)/6</f>
        <v>63.458620690537145</v>
      </c>
    </row>
    <row r="13" spans="1:29">
      <c r="A13" s="1" t="s">
        <v>47</v>
      </c>
      <c r="B13" s="1" t="s">
        <v>51</v>
      </c>
      <c r="C13" s="1">
        <v>2022</v>
      </c>
      <c r="E13" s="4"/>
      <c r="F13" s="4">
        <v>314100000</v>
      </c>
      <c r="G13" s="4">
        <v>28100000</v>
      </c>
      <c r="H13" s="4">
        <v>477800000</v>
      </c>
      <c r="I13" s="4">
        <f>H13</f>
        <v>477800000</v>
      </c>
      <c r="J13" s="2">
        <v>2395.6</v>
      </c>
      <c r="K13" s="2">
        <v>12876</v>
      </c>
      <c r="L13" s="2">
        <v>59.86</v>
      </c>
      <c r="M13" s="8">
        <v>1.6</v>
      </c>
      <c r="N13" s="2">
        <v>26</v>
      </c>
      <c r="P13" s="7">
        <f t="shared" si="0"/>
        <v>74.938182801971877</v>
      </c>
      <c r="Q13" s="7">
        <f t="shared" si="1"/>
        <v>54.6703865205128</v>
      </c>
      <c r="R13" s="2">
        <f t="shared" si="2"/>
        <v>68.422237474728362</v>
      </c>
      <c r="S13" s="2">
        <f t="shared" si="3"/>
        <v>39.42003082865071</v>
      </c>
      <c r="U13" s="7">
        <f>(P13+Q13)/2</f>
        <v>64.804284661242335</v>
      </c>
      <c r="V13" s="2">
        <f>(P13+Q13+R13)/3</f>
        <v>66.010268932404344</v>
      </c>
      <c r="W13" s="2">
        <f>(P13+Q13+S13)/3</f>
        <v>56.342866717045126</v>
      </c>
      <c r="X13" s="2">
        <f>(P13*2+Q13*2+R13+S13)/6</f>
        <v>61.176567824724735</v>
      </c>
    </row>
    <row r="14" spans="1:29">
      <c r="A14" s="1" t="s">
        <v>45</v>
      </c>
      <c r="B14" s="1" t="s">
        <v>46</v>
      </c>
      <c r="C14" s="1">
        <v>2023</v>
      </c>
      <c r="E14" s="5">
        <v>3581000</v>
      </c>
      <c r="F14" s="5">
        <v>987439000</v>
      </c>
      <c r="G14" s="5">
        <v>33702000</v>
      </c>
      <c r="H14" s="5">
        <v>1570476000</v>
      </c>
      <c r="I14" s="4">
        <f>H14*1.02</f>
        <v>1601885520</v>
      </c>
      <c r="J14" s="2">
        <v>4540</v>
      </c>
      <c r="K14" s="2">
        <v>27895</v>
      </c>
      <c r="L14" s="2">
        <v>142.5</v>
      </c>
      <c r="M14" s="8">
        <v>1.9</v>
      </c>
      <c r="N14" s="2">
        <v>12</v>
      </c>
      <c r="P14" s="7">
        <f t="shared" si="0"/>
        <v>78.052750204920855</v>
      </c>
      <c r="Q14" s="7">
        <f t="shared" si="1"/>
        <v>56.543515976721473</v>
      </c>
      <c r="R14" s="2">
        <f t="shared" si="2"/>
        <v>75.167594878016715</v>
      </c>
      <c r="S14" s="2">
        <f t="shared" si="3"/>
        <v>9.9847288067271798</v>
      </c>
      <c r="U14" s="7">
        <f>(P14+Q14)/2</f>
        <v>67.298133090821167</v>
      </c>
      <c r="V14" s="2">
        <f>(P14+Q14+R14)/3</f>
        <v>69.92128701988635</v>
      </c>
      <c r="W14" s="2">
        <f>(P14+Q14+S14)/3</f>
        <v>48.193664996123175</v>
      </c>
      <c r="X14" s="2">
        <f>(P14*2+Q14*2+R14+S14)/6</f>
        <v>59.057476008004755</v>
      </c>
    </row>
    <row r="15" spans="1:29">
      <c r="A15" s="1" t="s">
        <v>72</v>
      </c>
      <c r="B15" s="1" t="s">
        <v>73</v>
      </c>
      <c r="C15" s="1">
        <v>2022</v>
      </c>
      <c r="E15" s="19"/>
      <c r="F15" s="19">
        <v>2660597000</v>
      </c>
      <c r="G15" s="19">
        <v>703808000</v>
      </c>
      <c r="H15" s="19">
        <v>5425973000</v>
      </c>
      <c r="I15" s="4">
        <f>H15*0.08</f>
        <v>434077840</v>
      </c>
      <c r="J15" s="2">
        <v>843</v>
      </c>
      <c r="K15" s="2">
        <v>13583</v>
      </c>
      <c r="L15" s="2">
        <v>54.93</v>
      </c>
      <c r="M15" s="8">
        <v>2</v>
      </c>
      <c r="N15" s="2">
        <v>30</v>
      </c>
      <c r="P15" s="7">
        <f t="shared" si="0"/>
        <v>67.049239077766984</v>
      </c>
      <c r="Q15" s="7">
        <f t="shared" si="1"/>
        <v>46.956424532531237</v>
      </c>
      <c r="R15" s="2">
        <f t="shared" si="2"/>
        <v>59.53691284584135</v>
      </c>
      <c r="S15" s="2">
        <f t="shared" si="3"/>
        <v>53.864586009857184</v>
      </c>
      <c r="U15" s="7">
        <f>(P15+Q15)/2</f>
        <v>57.002831805149114</v>
      </c>
      <c r="V15" s="2">
        <f>(P15+Q15+R15)/3</f>
        <v>57.847525485379862</v>
      </c>
      <c r="W15" s="2">
        <f>(P15+Q15+S15)/3</f>
        <v>55.956749873385142</v>
      </c>
      <c r="X15" s="2">
        <f>(P15*2+Q15*2+R15+S15)/6</f>
        <v>56.902137679382498</v>
      </c>
    </row>
    <row r="16" spans="1:29">
      <c r="A16" s="1" t="s">
        <v>40</v>
      </c>
      <c r="B16" s="1" t="s">
        <v>75</v>
      </c>
      <c r="C16" s="1">
        <v>2022</v>
      </c>
      <c r="E16" s="4"/>
      <c r="F16" s="4">
        <v>445684557</v>
      </c>
      <c r="G16" s="4">
        <v>103976679</v>
      </c>
      <c r="H16" s="4">
        <v>715010067</v>
      </c>
      <c r="I16" s="4">
        <f>H16</f>
        <v>715010067</v>
      </c>
      <c r="J16" s="2">
        <v>2268</v>
      </c>
      <c r="K16" s="2">
        <v>12739</v>
      </c>
      <c r="L16" s="2">
        <v>62.3</v>
      </c>
      <c r="M16" s="8">
        <v>1.3</v>
      </c>
      <c r="N16" s="2">
        <v>12</v>
      </c>
      <c r="P16" s="7">
        <f t="shared" si="0"/>
        <v>68.329009106555446</v>
      </c>
      <c r="Q16" s="7">
        <f t="shared" si="1"/>
        <v>56.957199329790122</v>
      </c>
      <c r="R16" s="2">
        <f t="shared" si="2"/>
        <v>71.968424519980772</v>
      </c>
      <c r="S16" s="2">
        <f t="shared" si="3"/>
        <v>14.956456019744376</v>
      </c>
      <c r="U16" s="7">
        <f>(P16+Q16)/2</f>
        <v>62.64310421817278</v>
      </c>
      <c r="V16" s="2">
        <f>(P16+Q16+R16)/3</f>
        <v>65.751544318775444</v>
      </c>
      <c r="W16" s="2">
        <f>(P16+Q16+S16)/3</f>
        <v>46.747554818696642</v>
      </c>
      <c r="X16" s="2">
        <f>(P16*2+Q16*2+R16+S16)/6</f>
        <v>56.24954956873605</v>
      </c>
    </row>
    <row r="17" spans="1:24">
      <c r="A17" s="1" t="s">
        <v>41</v>
      </c>
      <c r="B17" s="1" t="s">
        <v>5</v>
      </c>
      <c r="C17" s="1">
        <v>2023</v>
      </c>
      <c r="E17" s="3">
        <v>55100000</v>
      </c>
      <c r="F17" s="3">
        <v>210900000</v>
      </c>
      <c r="G17" s="3">
        <v>513700000</v>
      </c>
      <c r="H17" s="3">
        <v>1385000000</v>
      </c>
      <c r="I17" s="4">
        <f>H17*1.17</f>
        <v>1620450000</v>
      </c>
      <c r="J17" s="2">
        <v>5015</v>
      </c>
      <c r="K17" s="2">
        <v>41250</v>
      </c>
      <c r="L17" s="2">
        <v>127.71</v>
      </c>
      <c r="M17" s="8">
        <v>4.9000000000000004</v>
      </c>
      <c r="N17" s="2">
        <v>78</v>
      </c>
      <c r="P17" s="7">
        <f t="shared" si="0"/>
        <v>35.982315421595956</v>
      </c>
      <c r="Q17" s="7">
        <f>LOG(J17*I17/K17^2,AA$3)</f>
        <v>52.391351412029188</v>
      </c>
      <c r="R17" s="2">
        <f t="shared" si="2"/>
        <v>45.601446181743121</v>
      </c>
      <c r="S17" s="2">
        <f t="shared" si="3"/>
        <v>112.71136356147407</v>
      </c>
      <c r="U17" s="7">
        <f>(P17+Q17)/2</f>
        <v>44.186833416812576</v>
      </c>
      <c r="V17" s="2">
        <f>(P17+Q17+R17)/3</f>
        <v>44.658371005122753</v>
      </c>
      <c r="W17" s="2">
        <f>(P17+Q17+S17)/3</f>
        <v>67.028343465033075</v>
      </c>
      <c r="X17" s="2">
        <f>(P17*2+Q17*2+R17+S17)/6</f>
        <v>55.843357235077917</v>
      </c>
    </row>
    <row r="18" spans="1:24">
      <c r="A18" s="1" t="s">
        <v>47</v>
      </c>
      <c r="B18" s="1" t="s">
        <v>49</v>
      </c>
      <c r="C18" s="1">
        <v>2022</v>
      </c>
      <c r="E18" s="4"/>
      <c r="F18" s="4">
        <v>402124000</v>
      </c>
      <c r="G18" s="4">
        <v>35660000</v>
      </c>
      <c r="H18" s="4">
        <v>714862000</v>
      </c>
      <c r="I18" s="4">
        <f>H18</f>
        <v>714862000</v>
      </c>
      <c r="J18" s="2">
        <v>3467</v>
      </c>
      <c r="K18" s="2">
        <v>24402</v>
      </c>
      <c r="L18" s="2">
        <v>88.36</v>
      </c>
      <c r="M18" s="8">
        <v>1.8</v>
      </c>
      <c r="N18" s="2">
        <v>29</v>
      </c>
      <c r="P18" s="7">
        <f t="shared" si="0"/>
        <v>74.977777596073309</v>
      </c>
      <c r="Q18" s="7">
        <f t="shared" si="1"/>
        <v>51.540721695250625</v>
      </c>
      <c r="R18" s="2">
        <f t="shared" si="2"/>
        <v>53.320505850859512</v>
      </c>
      <c r="S18" s="2">
        <f t="shared" si="3"/>
        <v>26.114769472283253</v>
      </c>
      <c r="U18" s="7">
        <f>(P18+Q18)/2</f>
        <v>63.259249645661967</v>
      </c>
      <c r="V18" s="2">
        <f>(P18+Q18+R18)/3</f>
        <v>59.946335047394484</v>
      </c>
      <c r="W18" s="2">
        <f>(P18+Q18+S18)/3</f>
        <v>50.877756254535733</v>
      </c>
      <c r="X18" s="2">
        <f>(P18*2+Q18*2+R18+S18)/6</f>
        <v>55.412045650965098</v>
      </c>
    </row>
    <row r="19" spans="1:24">
      <c r="A19" s="1" t="s">
        <v>53</v>
      </c>
      <c r="B19" s="1" t="s">
        <v>57</v>
      </c>
      <c r="C19" s="1">
        <v>2022</v>
      </c>
      <c r="E19" s="6"/>
      <c r="F19" s="6">
        <v>2186629000</v>
      </c>
      <c r="G19" s="6">
        <v>77679000</v>
      </c>
      <c r="H19" s="6">
        <v>3027319000</v>
      </c>
      <c r="I19" s="4">
        <f>H19*0.13</f>
        <v>393551470</v>
      </c>
      <c r="J19" s="2">
        <v>1914</v>
      </c>
      <c r="K19" s="2">
        <v>14955</v>
      </c>
      <c r="L19" s="2">
        <v>17.79</v>
      </c>
      <c r="M19" s="8">
        <v>1.5</v>
      </c>
      <c r="N19" s="2">
        <v>25</v>
      </c>
      <c r="P19" s="7">
        <f t="shared" si="0"/>
        <v>77.771604041254292</v>
      </c>
      <c r="Q19" s="7">
        <f t="shared" si="1"/>
        <v>50.23124972358837</v>
      </c>
      <c r="R19" s="2">
        <f>LOG(L19/K19+1,AB$3)</f>
        <v>17.538014838306829</v>
      </c>
      <c r="S19" s="2">
        <f t="shared" si="3"/>
        <v>30.605969009992364</v>
      </c>
      <c r="U19" s="7">
        <f>(P19+Q19)/2</f>
        <v>64.001426882421327</v>
      </c>
      <c r="V19" s="2">
        <f>(P19+Q19+R19)/3</f>
        <v>48.513622867716492</v>
      </c>
      <c r="W19" s="2">
        <f>(P19+Q19+S19)/3</f>
        <v>52.869607591611668</v>
      </c>
      <c r="X19" s="2">
        <f>(P19*2+Q19*2+R19+S19)/6</f>
        <v>50.69161522966408</v>
      </c>
    </row>
    <row r="20" spans="1:24">
      <c r="A20" s="1" t="s">
        <v>47</v>
      </c>
      <c r="B20" s="1" t="s">
        <v>52</v>
      </c>
      <c r="C20" s="1">
        <v>2022</v>
      </c>
      <c r="E20" s="4"/>
      <c r="F20" s="4">
        <v>644000000</v>
      </c>
      <c r="G20" s="4">
        <v>64000000</v>
      </c>
      <c r="H20" s="4">
        <v>1066000000</v>
      </c>
      <c r="I20" s="4">
        <f>H20</f>
        <v>1066000000</v>
      </c>
      <c r="J20" s="2">
        <v>5244</v>
      </c>
      <c r="K20" s="2">
        <v>39959</v>
      </c>
      <c r="L20" s="2">
        <v>121.86</v>
      </c>
      <c r="M20" s="8">
        <v>1.5</v>
      </c>
      <c r="N20" s="2">
        <v>20</v>
      </c>
      <c r="P20" s="7">
        <f t="shared" si="0"/>
        <v>74.440321835826097</v>
      </c>
      <c r="Q20" s="7">
        <f t="shared" si="1"/>
        <v>50.470774031904121</v>
      </c>
      <c r="R20" s="2">
        <f t="shared" si="2"/>
        <v>44.919433524893286</v>
      </c>
      <c r="S20" s="2">
        <f t="shared" si="3"/>
        <v>9.1716798007709279</v>
      </c>
      <c r="U20" s="7">
        <f>(P20+Q20)/2</f>
        <v>62.455547933865105</v>
      </c>
      <c r="V20" s="2">
        <f>(P20+Q20+R20)/3</f>
        <v>56.610176464207832</v>
      </c>
      <c r="W20" s="2">
        <f>(P20+Q20+S20)/3</f>
        <v>44.69425855616705</v>
      </c>
      <c r="X20" s="2">
        <f>(P20*2+Q20*2+R20+S20)/6</f>
        <v>50.652217510187434</v>
      </c>
    </row>
    <row r="21" spans="1:24">
      <c r="A21" s="1" t="s">
        <v>47</v>
      </c>
      <c r="B21" s="1" t="s">
        <v>60</v>
      </c>
      <c r="C21" s="1">
        <v>2022</v>
      </c>
      <c r="E21" s="4"/>
      <c r="F21" s="4">
        <v>530802700</v>
      </c>
      <c r="G21" s="4">
        <v>67751100</v>
      </c>
      <c r="H21" s="4">
        <v>834083100</v>
      </c>
      <c r="I21" s="4">
        <f>H21</f>
        <v>834083100</v>
      </c>
      <c r="J21" s="2">
        <v>3750</v>
      </c>
      <c r="K21" s="2">
        <v>37000</v>
      </c>
      <c r="L21" s="2">
        <v>120.01</v>
      </c>
      <c r="M21" s="8">
        <v>1.2</v>
      </c>
      <c r="N21" s="2">
        <v>14</v>
      </c>
      <c r="P21" s="7">
        <f t="shared" si="0"/>
        <v>73.058375519606088</v>
      </c>
      <c r="Q21" s="7">
        <f t="shared" si="1"/>
        <v>47.831261457465935</v>
      </c>
      <c r="R21" s="2">
        <f t="shared" si="2"/>
        <v>47.770680484386418</v>
      </c>
      <c r="S21" s="2">
        <f>LOG(M21*N21/K21+1,AC$3)</f>
        <v>5.5477157015331384</v>
      </c>
      <c r="U21" s="7">
        <f>(P21+Q21)/2</f>
        <v>60.444818488536015</v>
      </c>
      <c r="V21" s="2">
        <f>(P21+Q21+R21)/3</f>
        <v>56.220105820486147</v>
      </c>
      <c r="W21" s="2">
        <f>(P21+Q21+S21)/3</f>
        <v>42.145784226201719</v>
      </c>
      <c r="X21" s="2">
        <f>(P21*2+Q21*2+R21+S21)/6</f>
        <v>49.182945023343933</v>
      </c>
    </row>
    <row r="22" spans="1:24">
      <c r="A22" s="1" t="s">
        <v>47</v>
      </c>
      <c r="B22" s="1" t="s">
        <v>48</v>
      </c>
      <c r="C22" s="1">
        <v>2022</v>
      </c>
      <c r="E22" s="4"/>
      <c r="F22" s="4">
        <v>556300000</v>
      </c>
      <c r="G22" s="4">
        <v>92100000</v>
      </c>
      <c r="H22" s="4">
        <v>993400000</v>
      </c>
      <c r="I22" s="4">
        <f>H22</f>
        <v>993400000</v>
      </c>
      <c r="J22" s="2">
        <v>3408</v>
      </c>
      <c r="K22" s="2">
        <v>42143</v>
      </c>
      <c r="L22" s="2">
        <v>101</v>
      </c>
      <c r="M22" s="8">
        <v>2.4</v>
      </c>
      <c r="N22" s="2">
        <v>34</v>
      </c>
      <c r="P22" s="7">
        <f t="shared" si="0"/>
        <v>71.285237075372066</v>
      </c>
      <c r="Q22" s="7">
        <f t="shared" si="1"/>
        <v>46.711048614907916</v>
      </c>
      <c r="R22" s="2">
        <f t="shared" si="2"/>
        <v>35.312227610051771</v>
      </c>
      <c r="S22" s="2">
        <f t="shared" si="3"/>
        <v>23.640127377846387</v>
      </c>
      <c r="U22" s="7">
        <f>(P22+Q22)/2</f>
        <v>58.998142845139995</v>
      </c>
      <c r="V22" s="2">
        <f>(P22+Q22+R22)/3</f>
        <v>51.102837766777249</v>
      </c>
      <c r="W22" s="2">
        <f>(P22+Q22+S22)/3</f>
        <v>47.21213768937546</v>
      </c>
      <c r="X22" s="2">
        <f>(P22*2+Q22*2+R22+S22)/6</f>
        <v>49.157487728076354</v>
      </c>
    </row>
    <row r="23" spans="1:24">
      <c r="A23" s="1" t="s">
        <v>53</v>
      </c>
      <c r="B23" s="1" t="s">
        <v>58</v>
      </c>
      <c r="C23" s="1">
        <v>2022</v>
      </c>
      <c r="E23" s="6"/>
      <c r="F23" s="6">
        <v>2219200000</v>
      </c>
      <c r="G23" s="6">
        <v>87905000</v>
      </c>
      <c r="H23" s="6">
        <v>3337000000</v>
      </c>
      <c r="I23" s="4">
        <f>H23*0.13</f>
        <v>433810000</v>
      </c>
      <c r="J23" s="2">
        <v>2267</v>
      </c>
      <c r="K23" s="2">
        <v>16588</v>
      </c>
      <c r="L23" s="2">
        <v>42.02</v>
      </c>
      <c r="P23" s="7">
        <f t="shared" si="0"/>
        <v>77.549167725450118</v>
      </c>
      <c r="Q23" s="7">
        <f t="shared" si="1"/>
        <v>50.598544238299553</v>
      </c>
      <c r="R23" s="2">
        <f t="shared" si="2"/>
        <v>37.321717327136803</v>
      </c>
      <c r="S23" s="2">
        <f t="shared" si="3"/>
        <v>0</v>
      </c>
      <c r="U23" s="7">
        <f>(P23+Q23)/2</f>
        <v>64.073855981874829</v>
      </c>
      <c r="V23" s="2">
        <f>(P23+Q23+R23)/3</f>
        <v>55.156476430295491</v>
      </c>
      <c r="W23" s="2">
        <f>(P23+Q23+S23)/3</f>
        <v>42.715903987916555</v>
      </c>
      <c r="X23" s="2">
        <f>(P23*2+Q23*2+R23+S23)/6</f>
        <v>48.936190209106023</v>
      </c>
    </row>
    <row r="24" spans="1:24">
      <c r="A24" s="1" t="s">
        <v>47</v>
      </c>
      <c r="B24" s="1" t="s">
        <v>59</v>
      </c>
      <c r="C24" s="1">
        <v>2022</v>
      </c>
      <c r="E24" s="4"/>
      <c r="F24" s="4">
        <v>498700000</v>
      </c>
      <c r="G24" s="4">
        <v>66000000</v>
      </c>
      <c r="H24" s="4">
        <v>812600000</v>
      </c>
      <c r="I24" s="4">
        <f>H24</f>
        <v>812600000</v>
      </c>
      <c r="J24" s="2">
        <v>1903</v>
      </c>
      <c r="K24" s="2">
        <v>33474</v>
      </c>
      <c r="L24" s="2">
        <v>102.46</v>
      </c>
      <c r="M24" s="8">
        <v>1.3</v>
      </c>
      <c r="N24" s="2">
        <v>14</v>
      </c>
      <c r="P24" s="7">
        <f t="shared" si="0"/>
        <v>72.833421064674667</v>
      </c>
      <c r="Q24" s="7">
        <f t="shared" si="1"/>
        <v>44.713509419083309</v>
      </c>
      <c r="R24" s="2">
        <f t="shared" si="2"/>
        <v>45.084993319010373</v>
      </c>
      <c r="S24" s="2">
        <f t="shared" si="3"/>
        <v>6.642796621959417</v>
      </c>
      <c r="U24" s="7">
        <f>(P24+Q24)/2</f>
        <v>58.773465241878988</v>
      </c>
      <c r="V24" s="2">
        <f>(P24+Q24+R24)/3</f>
        <v>54.210641267589445</v>
      </c>
      <c r="W24" s="2">
        <f>(P24+Q24+S24)/3</f>
        <v>41.396575701905796</v>
      </c>
      <c r="X24" s="2">
        <f>(P24*2+Q24*2+R24+S24)/6</f>
        <v>47.80360848474762</v>
      </c>
    </row>
    <row r="25" spans="1:24">
      <c r="A25" s="1" t="s">
        <v>47</v>
      </c>
      <c r="B25" s="1" t="s">
        <v>50</v>
      </c>
      <c r="C25" s="1">
        <v>2022</v>
      </c>
      <c r="E25" s="4"/>
      <c r="F25" s="4">
        <v>473310000</v>
      </c>
      <c r="G25" s="4">
        <v>60361000</v>
      </c>
      <c r="H25" s="4">
        <v>690144000</v>
      </c>
      <c r="I25" s="4">
        <f>H25</f>
        <v>690144000</v>
      </c>
      <c r="J25" s="2">
        <v>2797</v>
      </c>
      <c r="K25" s="2">
        <v>31761</v>
      </c>
      <c r="L25" s="2">
        <v>63.65</v>
      </c>
      <c r="M25" s="8">
        <v>1.8</v>
      </c>
      <c r="N25" s="2">
        <v>23</v>
      </c>
      <c r="P25" s="7">
        <f t="shared" si="0"/>
        <v>73.063624264044222</v>
      </c>
      <c r="Q25" s="7">
        <f t="shared" si="1"/>
        <v>46.734844389575002</v>
      </c>
      <c r="R25" s="2">
        <f t="shared" si="2"/>
        <v>29.533744920267129</v>
      </c>
      <c r="S25" s="2">
        <f t="shared" si="3"/>
        <v>15.91946601118838</v>
      </c>
      <c r="U25" s="7">
        <f>(P25+Q25)/2</f>
        <v>59.899234326809612</v>
      </c>
      <c r="V25" s="2">
        <f>(P25+Q25+R25)/3</f>
        <v>49.777404524628786</v>
      </c>
      <c r="W25" s="2">
        <f>(P25+Q25+S25)/3</f>
        <v>45.239311554935874</v>
      </c>
      <c r="X25" s="2">
        <f>(P25*2+Q25*2+R25+S25)/6</f>
        <v>47.50835803978233</v>
      </c>
    </row>
    <row r="26" spans="1:24">
      <c r="A26" s="1" t="s">
        <v>47</v>
      </c>
      <c r="B26" s="1" t="s">
        <v>63</v>
      </c>
      <c r="C26" s="1">
        <v>2022</v>
      </c>
      <c r="E26" s="4"/>
      <c r="F26" s="4">
        <v>285000000</v>
      </c>
      <c r="G26" s="4">
        <v>28500000</v>
      </c>
      <c r="H26" s="4">
        <v>432200000</v>
      </c>
      <c r="I26" s="4">
        <f>H26</f>
        <v>432200000</v>
      </c>
      <c r="J26" s="2">
        <v>2068.83</v>
      </c>
      <c r="K26" s="2">
        <v>12493</v>
      </c>
      <c r="L26" s="2">
        <v>21.01</v>
      </c>
      <c r="M26" s="8">
        <v>1</v>
      </c>
      <c r="N26" s="2">
        <v>2</v>
      </c>
      <c r="P26" s="7">
        <f t="shared" si="0"/>
        <v>74.409367414296824</v>
      </c>
      <c r="Q26" s="7">
        <f t="shared" si="1"/>
        <v>53.51659290804453</v>
      </c>
      <c r="R26" s="2">
        <f t="shared" si="2"/>
        <v>24.788113073919419</v>
      </c>
      <c r="S26" s="2">
        <f t="shared" si="3"/>
        <v>1.9562921505298412</v>
      </c>
      <c r="U26" s="7">
        <f>(P26+Q26)/2</f>
        <v>63.962980161170677</v>
      </c>
      <c r="V26" s="2">
        <f>(P26+Q26+R26)/3</f>
        <v>50.904691132086924</v>
      </c>
      <c r="W26" s="2">
        <f>(P26+Q26+S26)/3</f>
        <v>43.294084157623729</v>
      </c>
      <c r="X26" s="2">
        <f>(P26*2+Q26*2+R26+S26)/6</f>
        <v>47.099387644855334</v>
      </c>
    </row>
    <row r="27" spans="1:24">
      <c r="A27" s="1" t="s">
        <v>40</v>
      </c>
      <c r="B27" s="1" t="s">
        <v>2</v>
      </c>
      <c r="C27" s="1">
        <v>2023</v>
      </c>
      <c r="E27" s="4"/>
      <c r="F27" s="4">
        <v>147241458</v>
      </c>
      <c r="G27" s="4">
        <v>20629278</v>
      </c>
      <c r="H27" s="4">
        <v>209455095</v>
      </c>
      <c r="I27" s="4">
        <f>H27</f>
        <v>209455095</v>
      </c>
      <c r="J27" s="2">
        <v>824</v>
      </c>
      <c r="K27" s="2">
        <v>16410</v>
      </c>
      <c r="L27" s="2">
        <v>20.56</v>
      </c>
      <c r="M27" s="8">
        <v>1.9</v>
      </c>
      <c r="N27" s="2">
        <v>21</v>
      </c>
      <c r="P27" s="7">
        <f t="shared" si="0"/>
        <v>72.465475846193115</v>
      </c>
      <c r="Q27" s="7">
        <f t="shared" si="1"/>
        <v>39.970033026465963</v>
      </c>
      <c r="R27" s="2">
        <f t="shared" si="2"/>
        <v>18.471054710582774</v>
      </c>
      <c r="S27" s="2">
        <f t="shared" si="3"/>
        <v>29.678509397350489</v>
      </c>
      <c r="U27" s="7">
        <f>(P27+Q27)/2</f>
        <v>56.217754436329543</v>
      </c>
      <c r="V27" s="2">
        <f>(P27+Q27+R27)/3</f>
        <v>43.635521194413947</v>
      </c>
      <c r="W27" s="2">
        <f>(P27+Q27+S27)/3</f>
        <v>47.371339423336529</v>
      </c>
      <c r="X27" s="2">
        <f>(P27*2+Q27*2+R27+S27)/6</f>
        <v>45.503430308875238</v>
      </c>
    </row>
    <row r="28" spans="1:24">
      <c r="A28" s="1" t="s">
        <v>47</v>
      </c>
      <c r="B28" s="1" t="s">
        <v>61</v>
      </c>
      <c r="C28" s="1">
        <v>2022</v>
      </c>
      <c r="E28" s="4"/>
      <c r="F28" s="4">
        <v>350370000</v>
      </c>
      <c r="G28" s="4">
        <v>41223000</v>
      </c>
      <c r="H28" s="4">
        <v>558679000</v>
      </c>
      <c r="I28" s="4">
        <f>H28</f>
        <v>558679000</v>
      </c>
      <c r="J28" s="2">
        <v>2430</v>
      </c>
      <c r="K28" s="2">
        <v>22406</v>
      </c>
      <c r="L28" s="2">
        <v>33.03</v>
      </c>
      <c r="M28" s="8">
        <v>1.1000000000000001</v>
      </c>
      <c r="N28" s="2">
        <v>7</v>
      </c>
      <c r="P28" s="7">
        <f t="shared" si="0"/>
        <v>73.540471056497779</v>
      </c>
      <c r="Q28" s="7">
        <f t="shared" si="1"/>
        <v>48.87370051921144</v>
      </c>
      <c r="R28" s="2">
        <f t="shared" si="2"/>
        <v>21.730684930958542</v>
      </c>
      <c r="S28" s="2">
        <f t="shared" si="3"/>
        <v>4.199107540676712</v>
      </c>
      <c r="U28" s="7">
        <f>(P28+Q28)/2</f>
        <v>61.207085787854609</v>
      </c>
      <c r="V28" s="2">
        <f>(P28+Q28+R28)/3</f>
        <v>48.048285502222591</v>
      </c>
      <c r="W28" s="2">
        <f>(P28+Q28+S28)/3</f>
        <v>42.204426372128644</v>
      </c>
      <c r="X28" s="2">
        <f>(P28*2+Q28*2+R28+S28)/6</f>
        <v>45.126355937175617</v>
      </c>
    </row>
    <row r="29" spans="1:24">
      <c r="A29" s="1" t="s">
        <v>41</v>
      </c>
      <c r="B29" s="1" t="s">
        <v>18</v>
      </c>
      <c r="C29" s="1">
        <v>2023</v>
      </c>
      <c r="E29" s="3">
        <v>600000</v>
      </c>
      <c r="F29" s="3">
        <v>127700000</v>
      </c>
      <c r="G29" s="3">
        <v>416400000</v>
      </c>
      <c r="H29" s="3">
        <v>934200000</v>
      </c>
      <c r="I29" s="4">
        <f>H29*1.17</f>
        <v>1093014000</v>
      </c>
      <c r="J29" s="2">
        <v>3335</v>
      </c>
      <c r="K29" s="2">
        <v>31485</v>
      </c>
      <c r="L29" s="2">
        <v>112.44</v>
      </c>
      <c r="M29" s="8">
        <v>2.2000000000000002</v>
      </c>
      <c r="N29" s="2">
        <v>47</v>
      </c>
      <c r="P29" s="7">
        <f>LOG((E29+F29)/(G29+F29)+1,Z$3)</f>
        <v>24.363308597480856</v>
      </c>
      <c r="Q29" s="7">
        <f t="shared" si="1"/>
        <v>50.774429723668185</v>
      </c>
      <c r="R29" s="2">
        <f t="shared" si="2"/>
        <v>52.588634634777961</v>
      </c>
      <c r="S29" s="2">
        <f t="shared" si="3"/>
        <v>40.069128658859434</v>
      </c>
      <c r="U29" s="7">
        <f>(P29+Q29)/2</f>
        <v>37.568869160574522</v>
      </c>
      <c r="V29" s="2">
        <f>(P29+Q29+R29)/3</f>
        <v>42.575457651975668</v>
      </c>
      <c r="W29" s="2">
        <f>(P29+Q29+S29)/3</f>
        <v>38.402288993336157</v>
      </c>
      <c r="X29" s="2">
        <f>(P29*2+Q29*2+R29+S29)/6</f>
        <v>40.488873322655913</v>
      </c>
    </row>
    <row r="30" spans="1:24">
      <c r="A30" s="1" t="s">
        <v>40</v>
      </c>
      <c r="B30" s="1" t="s">
        <v>42</v>
      </c>
      <c r="C30" s="1">
        <v>2022</v>
      </c>
      <c r="E30" s="4"/>
      <c r="F30" s="4">
        <v>318235849.14999998</v>
      </c>
      <c r="G30" s="4">
        <v>86177594.299999997</v>
      </c>
      <c r="H30" s="4">
        <v>582806127.85000002</v>
      </c>
      <c r="I30" s="4">
        <f>H30</f>
        <v>582806127.85000002</v>
      </c>
      <c r="J30" s="2">
        <v>1627</v>
      </c>
      <c r="K30" s="2">
        <v>47959</v>
      </c>
      <c r="L30" s="2">
        <v>18.43</v>
      </c>
      <c r="M30" s="8">
        <v>2.1</v>
      </c>
      <c r="N30" s="2">
        <v>38</v>
      </c>
      <c r="P30" s="7">
        <f t="shared" si="0"/>
        <v>66.798335889655931</v>
      </c>
      <c r="Q30" s="7">
        <f t="shared" si="1"/>
        <v>37.241147127934191</v>
      </c>
      <c r="R30" s="2">
        <f t="shared" si="2"/>
        <v>5.667882898477214</v>
      </c>
      <c r="S30" s="2">
        <f t="shared" si="3"/>
        <v>20.317811372445075</v>
      </c>
      <c r="U30" s="7">
        <f>(P30+Q30)/2</f>
        <v>52.019741508795065</v>
      </c>
      <c r="V30" s="2">
        <f>(P30+Q30+R30)/3</f>
        <v>36.569121972022451</v>
      </c>
      <c r="W30" s="2">
        <f>(P30+Q30+S30)/3</f>
        <v>41.452431463345071</v>
      </c>
      <c r="X30" s="2">
        <f>(P30*2+Q30*2+R30+S30)/6</f>
        <v>39.010776717683761</v>
      </c>
    </row>
    <row r="31" spans="1:24">
      <c r="A31" s="1" t="s">
        <v>47</v>
      </c>
      <c r="B31" s="1" t="s">
        <v>62</v>
      </c>
      <c r="C31" s="1">
        <v>2022</v>
      </c>
      <c r="E31" s="4"/>
      <c r="F31" s="4">
        <v>196693950</v>
      </c>
      <c r="G31" s="4">
        <v>33135497</v>
      </c>
      <c r="H31" s="4">
        <v>291296473</v>
      </c>
      <c r="I31" s="4">
        <f>H31</f>
        <v>291296473</v>
      </c>
      <c r="J31" s="2">
        <v>1294.4680000000001</v>
      </c>
      <c r="K31" s="2">
        <v>19497</v>
      </c>
      <c r="L31" s="2">
        <v>1.74</v>
      </c>
      <c r="M31" s="8">
        <v>1.1000000000000001</v>
      </c>
      <c r="N31" s="2">
        <v>4</v>
      </c>
      <c r="P31" s="7">
        <f t="shared" si="0"/>
        <v>71.153094317285237</v>
      </c>
      <c r="Q31" s="7">
        <f t="shared" si="1"/>
        <v>42.671298612473947</v>
      </c>
      <c r="R31" s="2">
        <f t="shared" si="2"/>
        <v>1.3164705985204641</v>
      </c>
      <c r="S31" s="2">
        <f t="shared" si="3"/>
        <v>2.7576624269977654</v>
      </c>
      <c r="U31" s="7">
        <f>(P31+Q31)/2</f>
        <v>56.912196464879592</v>
      </c>
      <c r="V31" s="2">
        <f>(P31+Q31+R31)/3</f>
        <v>38.380287842759884</v>
      </c>
      <c r="W31" s="2">
        <f>(P31+Q31+S31)/3</f>
        <v>38.860685118918987</v>
      </c>
      <c r="X31" s="2">
        <f>(P31*2+Q31*2+R31+S31)/6</f>
        <v>38.620486480839432</v>
      </c>
    </row>
    <row r="32" spans="1:24">
      <c r="A32" s="1" t="s">
        <v>40</v>
      </c>
      <c r="B32" s="1" t="s">
        <v>38</v>
      </c>
      <c r="C32" s="1">
        <v>2022</v>
      </c>
      <c r="E32" s="4"/>
      <c r="F32" s="4">
        <v>644619668.87</v>
      </c>
      <c r="G32" s="4">
        <v>116819770.81999999</v>
      </c>
      <c r="H32" s="4">
        <v>880317964.64999998</v>
      </c>
      <c r="I32" s="4">
        <f>H32*1.17</f>
        <v>1029972018.6404999</v>
      </c>
      <c r="J32" s="2">
        <v>3576</v>
      </c>
      <c r="K32" s="2">
        <v>122143</v>
      </c>
      <c r="L32" s="2">
        <v>53.85</v>
      </c>
      <c r="M32" s="8">
        <v>2.4</v>
      </c>
      <c r="N32" s="2">
        <v>40</v>
      </c>
      <c r="P32" s="7">
        <f t="shared" si="0"/>
        <v>70.578390184790877</v>
      </c>
      <c r="Q32" s="7">
        <f>LOG(J32*I32/K32^2,AA$3)</f>
        <v>34.070009243875418</v>
      </c>
      <c r="R32" s="2">
        <f t="shared" si="2"/>
        <v>6.5023522617468048</v>
      </c>
      <c r="S32" s="2">
        <f>LOG(M32*N32/K32+1,AC$3)</f>
        <v>9.601459485731084</v>
      </c>
      <c r="U32" s="7">
        <f>(P32+Q32)/2</f>
        <v>52.324199714333147</v>
      </c>
      <c r="V32" s="2">
        <f>(P32+Q32+R32)/3</f>
        <v>37.050250563471032</v>
      </c>
      <c r="W32" s="2">
        <f>(P32+Q32+S32)/3</f>
        <v>38.083286304799124</v>
      </c>
      <c r="X32" s="2">
        <f>(P32*2+Q32*2+R32+S32)/6</f>
        <v>37.566768434135078</v>
      </c>
    </row>
    <row r="33" spans="1:24">
      <c r="A33" s="1" t="s">
        <v>40</v>
      </c>
      <c r="B33" s="1" t="s">
        <v>44</v>
      </c>
      <c r="C33" s="1">
        <v>2023</v>
      </c>
      <c r="E33" s="4"/>
      <c r="F33" s="4">
        <v>271160973</v>
      </c>
      <c r="G33" s="4">
        <v>64849737</v>
      </c>
      <c r="H33" s="4">
        <v>405512751</v>
      </c>
      <c r="I33" s="4">
        <f>H33</f>
        <v>405512751</v>
      </c>
      <c r="J33" s="2">
        <v>1518</v>
      </c>
      <c r="K33" s="2">
        <v>52583</v>
      </c>
      <c r="L33" s="2">
        <v>40.5</v>
      </c>
      <c r="M33" s="8">
        <v>1.4</v>
      </c>
      <c r="N33" s="2">
        <v>20</v>
      </c>
      <c r="P33" s="7">
        <f t="shared" si="0"/>
        <v>68.085111941951396</v>
      </c>
      <c r="Q33" s="7">
        <f t="shared" si="1"/>
        <v>33.430611333858181</v>
      </c>
      <c r="R33" s="2">
        <f t="shared" si="2"/>
        <v>11.357730349865431</v>
      </c>
      <c r="S33" s="2">
        <f t="shared" si="3"/>
        <v>6.5058236240213736</v>
      </c>
      <c r="U33" s="7">
        <f>(P33+Q33)/2</f>
        <v>50.757861637904789</v>
      </c>
      <c r="V33" s="2">
        <f>(P33+Q33+R33)/3</f>
        <v>37.624484541891668</v>
      </c>
      <c r="W33" s="2">
        <f>(P33+Q33+S33)/3</f>
        <v>36.007182299943651</v>
      </c>
      <c r="X33" s="2">
        <f>(P33*2+Q33*2+R33+S33)/6</f>
        <v>36.815833420917656</v>
      </c>
    </row>
    <row r="34" spans="1:24">
      <c r="A34" s="1" t="s">
        <v>41</v>
      </c>
      <c r="B34" s="1" t="s">
        <v>7</v>
      </c>
      <c r="C34" s="1">
        <v>2023</v>
      </c>
      <c r="E34" s="3">
        <v>29000000</v>
      </c>
      <c r="F34" s="3">
        <v>236700000</v>
      </c>
      <c r="G34" s="3">
        <v>929300000</v>
      </c>
      <c r="H34" s="3">
        <v>1968300000</v>
      </c>
      <c r="I34" s="4">
        <f>H34*1.17</f>
        <v>2302911000</v>
      </c>
      <c r="J34" s="2">
        <v>7380</v>
      </c>
      <c r="K34" s="2">
        <v>46830</v>
      </c>
      <c r="L34" s="2">
        <v>9.19</v>
      </c>
      <c r="M34" s="8">
        <v>3.6</v>
      </c>
      <c r="N34" s="2">
        <v>58</v>
      </c>
      <c r="P34" s="7">
        <f t="shared" si="0"/>
        <v>23.622596352439043</v>
      </c>
      <c r="Q34" s="7">
        <f t="shared" si="1"/>
        <v>55.385066164520019</v>
      </c>
      <c r="R34" s="2">
        <f>LOG(L34/K34+1,AB$3)</f>
        <v>2.8946617994839907</v>
      </c>
      <c r="S34" s="2">
        <f t="shared" si="3"/>
        <v>54.36822539877744</v>
      </c>
      <c r="U34" s="7">
        <f>(P34+Q34)/2</f>
        <v>39.503831258479529</v>
      </c>
      <c r="V34" s="2">
        <f>(P34+Q34+R34)/3</f>
        <v>27.30077477214768</v>
      </c>
      <c r="W34" s="2">
        <f>(P34+Q34+S34)/3</f>
        <v>44.458629305245495</v>
      </c>
      <c r="X34" s="2">
        <f>(P34*2+Q34*2+R34+S34)/6</f>
        <v>35.879702038696593</v>
      </c>
    </row>
    <row r="35" spans="1:24">
      <c r="A35" s="1" t="s">
        <v>41</v>
      </c>
      <c r="B35" s="1" t="s">
        <v>17</v>
      </c>
      <c r="C35" s="1">
        <v>2023</v>
      </c>
      <c r="E35" s="3">
        <v>28900000</v>
      </c>
      <c r="F35" s="3">
        <v>148300000</v>
      </c>
      <c r="G35" s="3">
        <v>607800000</v>
      </c>
      <c r="H35" s="3">
        <v>1230000000</v>
      </c>
      <c r="I35" s="4">
        <f>H35*1.17</f>
        <v>1439100000</v>
      </c>
      <c r="J35" s="2">
        <v>4525</v>
      </c>
      <c r="K35" s="2">
        <v>41490</v>
      </c>
      <c r="L35" s="2">
        <v>112.24</v>
      </c>
      <c r="M35" s="8">
        <v>2.2999999999999998</v>
      </c>
      <c r="N35" s="2">
        <v>36</v>
      </c>
      <c r="P35" s="7">
        <f t="shared" si="0"/>
        <v>24.22898403908388</v>
      </c>
      <c r="Q35" s="7">
        <f t="shared" si="1"/>
        <v>50.949708245533202</v>
      </c>
      <c r="R35" s="2">
        <f t="shared" si="2"/>
        <v>39.85350635164761</v>
      </c>
      <c r="S35" s="2">
        <f t="shared" si="3"/>
        <v>24.364591078944557</v>
      </c>
      <c r="U35" s="7">
        <f>(P35+Q35)/2</f>
        <v>37.589346142308543</v>
      </c>
      <c r="V35" s="2">
        <f>(P35+Q35+R35)/3</f>
        <v>38.344066212088229</v>
      </c>
      <c r="W35" s="2">
        <f>(P35+Q35+S35)/3</f>
        <v>33.181094454520547</v>
      </c>
      <c r="X35" s="2">
        <f>(P35*2+Q35*2+R35+S35)/6</f>
        <v>35.762580333304392</v>
      </c>
    </row>
    <row r="36" spans="1:24">
      <c r="A36" s="1" t="s">
        <v>41</v>
      </c>
      <c r="B36" s="1" t="s">
        <v>27</v>
      </c>
      <c r="C36" s="1">
        <v>2023</v>
      </c>
      <c r="E36" s="3">
        <v>3448000</v>
      </c>
      <c r="F36" s="3">
        <v>91494000</v>
      </c>
      <c r="G36" s="3">
        <v>361632000</v>
      </c>
      <c r="H36" s="3">
        <v>730044000</v>
      </c>
      <c r="I36" s="4">
        <f>H36*1.17</f>
        <v>854151480</v>
      </c>
      <c r="J36" s="2">
        <v>2445</v>
      </c>
      <c r="K36" s="2">
        <v>23795</v>
      </c>
      <c r="L36" s="2">
        <v>63.86</v>
      </c>
      <c r="M36" s="8">
        <v>1.7</v>
      </c>
      <c r="N36" s="2">
        <v>34</v>
      </c>
      <c r="P36" s="7">
        <f t="shared" si="0"/>
        <v>21.89024884455393</v>
      </c>
      <c r="Q36" s="7">
        <f t="shared" si="1"/>
        <v>50.793343500918681</v>
      </c>
      <c r="R36" s="2">
        <f t="shared" si="2"/>
        <v>39.537587980494962</v>
      </c>
      <c r="S36" s="2">
        <f t="shared" si="3"/>
        <v>29.649707365080243</v>
      </c>
      <c r="U36" s="7">
        <f>(P36+Q36)/2</f>
        <v>36.341796172736309</v>
      </c>
      <c r="V36" s="2">
        <f>(P36+Q36+R36)/3</f>
        <v>37.407060108655863</v>
      </c>
      <c r="W36" s="2">
        <f>(P36+Q36+S36)/3</f>
        <v>34.111099903517619</v>
      </c>
      <c r="X36" s="2">
        <f>(P36*2+Q36*2+R36+S36)/6</f>
        <v>35.759080006086741</v>
      </c>
    </row>
    <row r="37" spans="1:24">
      <c r="A37" s="1" t="s">
        <v>41</v>
      </c>
      <c r="B37" s="1" t="s">
        <v>19</v>
      </c>
      <c r="C37" s="1">
        <v>2023</v>
      </c>
      <c r="E37" s="3">
        <v>2600000</v>
      </c>
      <c r="F37" s="3">
        <v>94600000</v>
      </c>
      <c r="G37" s="3">
        <v>342500000</v>
      </c>
      <c r="H37" s="3">
        <v>675100000</v>
      </c>
      <c r="I37" s="4">
        <f>H37*1.17</f>
        <v>789867000</v>
      </c>
      <c r="J37" s="2">
        <v>2745</v>
      </c>
      <c r="K37" s="2">
        <v>28680</v>
      </c>
      <c r="L37" s="2">
        <v>58.62</v>
      </c>
      <c r="M37" s="8">
        <v>2.2000000000000002</v>
      </c>
      <c r="N37" s="2">
        <v>42</v>
      </c>
      <c r="P37" s="7">
        <f t="shared" si="0"/>
        <v>23.106150252722845</v>
      </c>
      <c r="Q37" s="7">
        <f t="shared" si="1"/>
        <v>48.71560429916822</v>
      </c>
      <c r="R37" s="2">
        <f t="shared" si="2"/>
        <v>30.121201840780731</v>
      </c>
      <c r="S37" s="2">
        <f t="shared" si="3"/>
        <v>39.309668662889678</v>
      </c>
      <c r="U37" s="7">
        <f>(P37+Q37)/2</f>
        <v>35.910877275945531</v>
      </c>
      <c r="V37" s="2">
        <f>(P37+Q37+R37)/3</f>
        <v>33.980985464223927</v>
      </c>
      <c r="W37" s="2">
        <f>(P37+Q37+S37)/3</f>
        <v>37.043807738260249</v>
      </c>
      <c r="X37" s="2">
        <f>(P37*2+Q37*2+R37+S37)/6</f>
        <v>35.512396601242095</v>
      </c>
    </row>
    <row r="38" spans="1:24">
      <c r="A38" s="1" t="s">
        <v>41</v>
      </c>
      <c r="B38" s="1" t="s">
        <v>22</v>
      </c>
      <c r="C38" s="1">
        <v>2023</v>
      </c>
      <c r="E38" s="3">
        <v>2099000</v>
      </c>
      <c r="F38" s="3">
        <v>48390000</v>
      </c>
      <c r="G38" s="3">
        <v>150726000</v>
      </c>
      <c r="H38" s="3">
        <v>316331000</v>
      </c>
      <c r="I38" s="4">
        <f>H38*1.17</f>
        <v>370107270</v>
      </c>
      <c r="J38" s="2">
        <v>1300</v>
      </c>
      <c r="K38" s="2">
        <v>15575</v>
      </c>
      <c r="L38" s="2">
        <v>18.079999999999998</v>
      </c>
      <c r="M38" s="8">
        <v>1.9</v>
      </c>
      <c r="N38" s="2">
        <v>26</v>
      </c>
      <c r="P38" s="7">
        <f>LOG((E38+F38)/(G38+F38)+1,Z$3)</f>
        <v>26.005602656726545</v>
      </c>
      <c r="Q38" s="7">
        <f t="shared" si="1"/>
        <v>46.956582160693657</v>
      </c>
      <c r="R38" s="2">
        <f t="shared" si="2"/>
        <v>17.114629688425524</v>
      </c>
      <c r="S38" s="2">
        <f t="shared" si="3"/>
        <v>38.700473868344829</v>
      </c>
      <c r="U38" s="7">
        <f>(P38+Q38)/2</f>
        <v>36.481092408710097</v>
      </c>
      <c r="V38" s="2">
        <f>(P38+Q38+R38)/3</f>
        <v>30.025604835281907</v>
      </c>
      <c r="W38" s="2">
        <f>(P38+Q38+S38)/3</f>
        <v>37.220886228588341</v>
      </c>
      <c r="X38" s="2">
        <f>(P38*2+Q38*2+R38+S38)/6</f>
        <v>33.623245531935119</v>
      </c>
    </row>
    <row r="39" spans="1:24">
      <c r="A39" s="1" t="s">
        <v>41</v>
      </c>
      <c r="B39" s="1" t="s">
        <v>26</v>
      </c>
      <c r="C39" s="1">
        <v>2023</v>
      </c>
      <c r="E39" s="3">
        <v>8000000</v>
      </c>
      <c r="F39" s="3">
        <v>185900000</v>
      </c>
      <c r="G39" s="3">
        <v>410800000</v>
      </c>
      <c r="H39" s="3">
        <v>952200000</v>
      </c>
      <c r="I39" s="4">
        <f>H39*1.17</f>
        <v>1114074000</v>
      </c>
      <c r="J39" s="2">
        <v>3810</v>
      </c>
      <c r="K39" s="2">
        <v>42980</v>
      </c>
      <c r="L39" s="2">
        <v>77.62</v>
      </c>
      <c r="M39" s="8">
        <v>1.7</v>
      </c>
      <c r="N39" s="2">
        <v>28</v>
      </c>
      <c r="P39" s="7">
        <f t="shared" si="0"/>
        <v>32.378990608885516</v>
      </c>
      <c r="Q39" s="7">
        <f t="shared" si="1"/>
        <v>47.86642178718941</v>
      </c>
      <c r="R39" s="2">
        <f t="shared" si="2"/>
        <v>26.617327591371531</v>
      </c>
      <c r="S39" s="2">
        <f t="shared" si="3"/>
        <v>13.527121194264684</v>
      </c>
      <c r="U39" s="7">
        <f>(P39+Q39)/2</f>
        <v>40.122706198037463</v>
      </c>
      <c r="V39" s="2">
        <f>(P39+Q39+R39)/3</f>
        <v>35.62091332914882</v>
      </c>
      <c r="W39" s="2">
        <f>(P39+Q39+S39)/3</f>
        <v>31.25751119677987</v>
      </c>
      <c r="X39" s="2">
        <f>(P39*2+Q39*2+R39+S39)/6</f>
        <v>33.43921226296434</v>
      </c>
    </row>
    <row r="40" spans="1:24">
      <c r="A40" s="1" t="s">
        <v>41</v>
      </c>
      <c r="B40" s="1" t="s">
        <v>36</v>
      </c>
      <c r="C40" s="1">
        <v>2023</v>
      </c>
      <c r="E40" s="3">
        <v>18564000</v>
      </c>
      <c r="F40" s="3">
        <v>184180000</v>
      </c>
      <c r="G40" s="3">
        <v>659945000</v>
      </c>
      <c r="H40" s="3">
        <v>1344665000</v>
      </c>
      <c r="I40" s="4">
        <f>H40*1.17</f>
        <v>1573258050</v>
      </c>
      <c r="J40" s="2">
        <v>4820</v>
      </c>
      <c r="K40" s="2">
        <v>46410</v>
      </c>
      <c r="L40" s="2">
        <v>131.31</v>
      </c>
      <c r="M40" s="8">
        <v>1.4</v>
      </c>
      <c r="N40" s="2">
        <v>18</v>
      </c>
      <c r="P40" s="7">
        <f t="shared" si="0"/>
        <v>24.770454086654006</v>
      </c>
      <c r="Q40" s="7">
        <f t="shared" si="1"/>
        <v>50.505423810158177</v>
      </c>
      <c r="R40" s="2">
        <f t="shared" si="2"/>
        <v>41.679419073203121</v>
      </c>
      <c r="S40" s="2">
        <f t="shared" si="3"/>
        <v>6.6340128499236206</v>
      </c>
      <c r="U40" s="7">
        <f>(P40+Q40)/2</f>
        <v>37.637938948406088</v>
      </c>
      <c r="V40" s="2">
        <f>(P40+Q40+R40)/3</f>
        <v>38.985098990005099</v>
      </c>
      <c r="W40" s="2">
        <f>(P40+Q40+S40)/3</f>
        <v>27.303296915578599</v>
      </c>
      <c r="X40" s="2">
        <f>(P40*2+Q40*2+R40+S40)/6</f>
        <v>33.144197952791849</v>
      </c>
    </row>
    <row r="41" spans="1:24">
      <c r="A41" s="1" t="s">
        <v>41</v>
      </c>
      <c r="B41" s="1" t="s">
        <v>16</v>
      </c>
      <c r="C41" s="1">
        <v>2023</v>
      </c>
      <c r="E41" s="3">
        <v>4000000</v>
      </c>
      <c r="F41" s="3">
        <v>74400000</v>
      </c>
      <c r="G41" s="3">
        <v>453800000</v>
      </c>
      <c r="H41" s="3">
        <v>839400000</v>
      </c>
      <c r="I41" s="4">
        <f>H41*1.17</f>
        <v>982097999.99999988</v>
      </c>
      <c r="J41" s="2">
        <v>2745</v>
      </c>
      <c r="K41" s="2">
        <v>28825</v>
      </c>
      <c r="L41" s="2">
        <v>58.98</v>
      </c>
      <c r="M41" s="8">
        <v>2.4</v>
      </c>
      <c r="N41" s="2">
        <v>35</v>
      </c>
      <c r="P41" s="7">
        <f t="shared" si="0"/>
        <v>15.925489764768621</v>
      </c>
      <c r="Q41" s="7">
        <f t="shared" si="1"/>
        <v>50.000382646235806</v>
      </c>
      <c r="R41" s="2">
        <f t="shared" si="2"/>
        <v>30.153699527898144</v>
      </c>
      <c r="S41" s="2">
        <f t="shared" si="3"/>
        <v>35.561752713548742</v>
      </c>
      <c r="U41" s="7">
        <f>(P41+Q41)/2</f>
        <v>32.962936205502217</v>
      </c>
      <c r="V41" s="2">
        <f>(P41+Q41+R41)/3</f>
        <v>32.026523979634192</v>
      </c>
      <c r="W41" s="2">
        <f>(P41+Q41+S41)/3</f>
        <v>33.829208374851056</v>
      </c>
      <c r="X41" s="2">
        <f>(P41*2+Q41*2+R41+S41)/6</f>
        <v>32.927866177242628</v>
      </c>
    </row>
    <row r="42" spans="1:24">
      <c r="A42" s="1" t="s">
        <v>41</v>
      </c>
      <c r="B42" s="1" t="s">
        <v>30</v>
      </c>
      <c r="C42" s="1">
        <v>2023</v>
      </c>
      <c r="E42" s="3">
        <v>3135000</v>
      </c>
      <c r="F42" s="3">
        <v>108240000</v>
      </c>
      <c r="G42" s="3">
        <v>160937000</v>
      </c>
      <c r="H42" s="3">
        <v>460525000</v>
      </c>
      <c r="I42" s="4">
        <f>H42*1.17</f>
        <v>538814250</v>
      </c>
      <c r="J42" s="2">
        <v>1915</v>
      </c>
      <c r="K42" s="2">
        <v>25295</v>
      </c>
      <c r="L42" s="2">
        <v>24.1</v>
      </c>
      <c r="M42" s="8">
        <v>1.5</v>
      </c>
      <c r="N42" s="2">
        <v>17</v>
      </c>
      <c r="P42" s="7">
        <f t="shared" si="0"/>
        <v>39.844470321444135</v>
      </c>
      <c r="Q42" s="7">
        <f t="shared" si="1"/>
        <v>45.67670458515726</v>
      </c>
      <c r="R42" s="2">
        <f t="shared" si="2"/>
        <v>14.048327992574546</v>
      </c>
      <c r="S42" s="2">
        <f t="shared" si="3"/>
        <v>12.313794424290988</v>
      </c>
      <c r="U42" s="7">
        <f>(P42+Q42)/2</f>
        <v>42.760587453300701</v>
      </c>
      <c r="V42" s="2">
        <f>(P42+Q42+R42)/3</f>
        <v>33.189834299725312</v>
      </c>
      <c r="W42" s="2">
        <f>(P42+Q42+S42)/3</f>
        <v>32.6116564436308</v>
      </c>
      <c r="X42" s="2">
        <f>(P42*2+Q42*2+R42+S42)/6</f>
        <v>32.900745371678056</v>
      </c>
    </row>
    <row r="43" spans="1:24">
      <c r="A43" s="1" t="s">
        <v>41</v>
      </c>
      <c r="B43" s="1" t="s">
        <v>20</v>
      </c>
      <c r="C43" s="1">
        <v>2023</v>
      </c>
      <c r="E43" s="3">
        <v>9000000</v>
      </c>
      <c r="F43" s="3">
        <v>113000000</v>
      </c>
      <c r="G43" s="3">
        <v>445000000</v>
      </c>
      <c r="H43" s="3">
        <v>929000000</v>
      </c>
      <c r="I43" s="4">
        <f>H43*1.17</f>
        <v>1086930000</v>
      </c>
      <c r="J43" s="2">
        <v>3665</v>
      </c>
      <c r="K43" s="2">
        <v>37990</v>
      </c>
      <c r="L43" s="2">
        <v>72.36</v>
      </c>
      <c r="M43" s="8">
        <v>2.1</v>
      </c>
      <c r="N43" s="2">
        <v>38</v>
      </c>
      <c r="P43" s="7">
        <f t="shared" si="0"/>
        <v>22.753837814957059</v>
      </c>
      <c r="Q43" s="7">
        <f t="shared" si="1"/>
        <v>49.000397706824465</v>
      </c>
      <c r="R43" s="2">
        <f t="shared" si="2"/>
        <v>28.071464832138414</v>
      </c>
      <c r="S43" s="2">
        <f t="shared" si="3"/>
        <v>25.643841542795958</v>
      </c>
      <c r="U43" s="7">
        <f>(P43+Q43)/2</f>
        <v>35.877117760890762</v>
      </c>
      <c r="V43" s="2">
        <f>(P43+Q43+R43)/3</f>
        <v>33.275233451306647</v>
      </c>
      <c r="W43" s="2">
        <f>(P43+Q43+S43)/3</f>
        <v>32.466025688192495</v>
      </c>
      <c r="X43" s="2">
        <f>(P43*2+Q43*2+R43+S43)/6</f>
        <v>32.870629569749575</v>
      </c>
    </row>
    <row r="44" spans="1:24">
      <c r="A44" s="1" t="s">
        <v>41</v>
      </c>
      <c r="B44" s="1" t="s">
        <v>29</v>
      </c>
      <c r="C44" s="1">
        <v>2023</v>
      </c>
      <c r="E44" s="3">
        <v>11700000</v>
      </c>
      <c r="F44" s="3">
        <v>111500000</v>
      </c>
      <c r="G44" s="3">
        <v>397500000</v>
      </c>
      <c r="H44" s="3">
        <v>887000000</v>
      </c>
      <c r="I44" s="4">
        <f>H44*1.17</f>
        <v>1037789999.9999999</v>
      </c>
      <c r="J44" s="2">
        <v>3345</v>
      </c>
      <c r="K44" s="2">
        <v>30860</v>
      </c>
      <c r="L44" s="2">
        <v>48.8</v>
      </c>
      <c r="M44" s="8">
        <v>1.6</v>
      </c>
      <c r="N44" s="2">
        <v>28</v>
      </c>
      <c r="P44" s="7">
        <f t="shared" si="0"/>
        <v>24.942981685919424</v>
      </c>
      <c r="Q44" s="7">
        <f t="shared" si="1"/>
        <v>50.720310314304641</v>
      </c>
      <c r="R44" s="2">
        <f t="shared" si="2"/>
        <v>23.309332117412204</v>
      </c>
      <c r="S44" s="2">
        <f t="shared" si="3"/>
        <v>17.728511104337457</v>
      </c>
      <c r="U44" s="7">
        <f>(P44+Q44)/2</f>
        <v>37.83164600011203</v>
      </c>
      <c r="V44" s="2">
        <f>(P44+Q44+R44)/3</f>
        <v>32.990874705878753</v>
      </c>
      <c r="W44" s="2">
        <f>(P44+Q44+S44)/3</f>
        <v>31.130601034853839</v>
      </c>
      <c r="X44" s="2">
        <f>(P44*2+Q44*2+R44+S44)/6</f>
        <v>32.060737870366296</v>
      </c>
    </row>
    <row r="45" spans="1:24">
      <c r="A45" s="1" t="s">
        <v>41</v>
      </c>
      <c r="B45" s="1" t="s">
        <v>33</v>
      </c>
      <c r="C45" s="1">
        <v>2023</v>
      </c>
      <c r="E45" s="3">
        <v>9373000</v>
      </c>
      <c r="F45" s="3">
        <v>46778000</v>
      </c>
      <c r="G45" s="3">
        <v>289887000</v>
      </c>
      <c r="H45" s="3">
        <v>484223000</v>
      </c>
      <c r="I45" s="4">
        <f>H45*1.17</f>
        <v>566540910</v>
      </c>
      <c r="J45" s="2">
        <v>2020</v>
      </c>
      <c r="K45" s="2">
        <v>22230</v>
      </c>
      <c r="L45" s="2">
        <v>72.89</v>
      </c>
      <c r="M45" s="8">
        <v>1.4</v>
      </c>
      <c r="N45" s="2">
        <v>15</v>
      </c>
      <c r="P45" s="7">
        <f t="shared" si="0"/>
        <v>17.750357818211764</v>
      </c>
      <c r="Q45" s="7">
        <f>LOG(J45*I45/K45^2,AA$3)</f>
        <v>47.914804017106711</v>
      </c>
      <c r="R45" s="2">
        <f t="shared" si="2"/>
        <v>48.291037925551237</v>
      </c>
      <c r="S45" s="2">
        <f t="shared" si="3"/>
        <v>11.539314173289329</v>
      </c>
      <c r="U45" s="7">
        <f>(P45+Q45)/2</f>
        <v>32.832580917659236</v>
      </c>
      <c r="V45" s="2">
        <f>(P45+Q45+R45)/3</f>
        <v>37.9853999202899</v>
      </c>
      <c r="W45" s="2">
        <f>(P45+Q45+S45)/3</f>
        <v>25.734825336202601</v>
      </c>
      <c r="X45" s="2">
        <f>(P45*2+Q45*2+R45+S45)/6</f>
        <v>31.860112628246256</v>
      </c>
    </row>
    <row r="46" spans="1:24">
      <c r="A46" s="1" t="s">
        <v>41</v>
      </c>
      <c r="B46" s="1" t="s">
        <v>23</v>
      </c>
      <c r="C46" s="1">
        <v>2023</v>
      </c>
      <c r="E46" s="3">
        <v>2900000</v>
      </c>
      <c r="F46" s="3">
        <v>80000000</v>
      </c>
      <c r="G46" s="3">
        <v>382900000</v>
      </c>
      <c r="H46" s="3">
        <v>679800000</v>
      </c>
      <c r="I46" s="4">
        <f>H46*1.17</f>
        <v>795366000</v>
      </c>
      <c r="J46" s="2">
        <v>2505</v>
      </c>
      <c r="K46" s="2">
        <v>26045</v>
      </c>
      <c r="L46" s="2">
        <v>61.42</v>
      </c>
      <c r="M46" s="8">
        <v>1.8</v>
      </c>
      <c r="N46" s="2">
        <v>20</v>
      </c>
      <c r="P46" s="7">
        <f t="shared" si="0"/>
        <v>18.95731566659628</v>
      </c>
      <c r="Q46" s="7">
        <f t="shared" si="1"/>
        <v>49.384733350780778</v>
      </c>
      <c r="R46" s="2">
        <f t="shared" si="2"/>
        <v>34.747451433510342</v>
      </c>
      <c r="S46" s="2">
        <f t="shared" si="3"/>
        <v>16.880425251381766</v>
      </c>
      <c r="U46" s="7">
        <f>(P46+Q46)/2</f>
        <v>34.171024508688532</v>
      </c>
      <c r="V46" s="2">
        <f>(P46+Q46+R46)/3</f>
        <v>34.363166816962469</v>
      </c>
      <c r="W46" s="2">
        <f>(P46+Q46+S46)/3</f>
        <v>28.407491422919609</v>
      </c>
      <c r="X46" s="2">
        <f>(P46*2+Q46*2+R46+S46)/6</f>
        <v>31.385329119941037</v>
      </c>
    </row>
    <row r="47" spans="1:24">
      <c r="A47" s="1" t="s">
        <v>41</v>
      </c>
      <c r="B47" s="1" t="s">
        <v>24</v>
      </c>
      <c r="C47" s="1">
        <v>2023</v>
      </c>
      <c r="E47" s="3">
        <v>655000</v>
      </c>
      <c r="F47" s="3">
        <v>22578000</v>
      </c>
      <c r="G47" s="3">
        <v>136722000</v>
      </c>
      <c r="H47" s="3">
        <v>216104000</v>
      </c>
      <c r="I47" s="4">
        <f>H47*1.17</f>
        <v>252841679.99999997</v>
      </c>
      <c r="J47" s="2">
        <v>880</v>
      </c>
      <c r="K47" s="2">
        <v>12480</v>
      </c>
      <c r="L47" s="2">
        <v>8.6999999999999993</v>
      </c>
      <c r="M47" s="8">
        <v>1.8</v>
      </c>
      <c r="N47" s="2">
        <v>28</v>
      </c>
      <c r="P47" s="7">
        <f t="shared" si="0"/>
        <v>15.666249292673918</v>
      </c>
      <c r="Q47" s="7">
        <f t="shared" si="1"/>
        <v>44.927141197789958</v>
      </c>
      <c r="R47" s="2">
        <f t="shared" si="2"/>
        <v>10.280220279986416</v>
      </c>
      <c r="S47" s="2">
        <f t="shared" si="3"/>
        <v>49.254475616353552</v>
      </c>
      <c r="U47" s="7">
        <f>(P47+Q47)/2</f>
        <v>30.296695245231938</v>
      </c>
      <c r="V47" s="2">
        <f>(P47+Q47+R47)/3</f>
        <v>23.624536923483429</v>
      </c>
      <c r="W47" s="2">
        <f>(P47+Q47+S47)/3</f>
        <v>36.615955368939147</v>
      </c>
      <c r="X47" s="2">
        <f>(P47*2+Q47*2+R47+S47)/6</f>
        <v>30.120246146211286</v>
      </c>
    </row>
    <row r="48" spans="1:24">
      <c r="A48" s="1" t="s">
        <v>41</v>
      </c>
      <c r="B48" s="1" t="s">
        <v>34</v>
      </c>
      <c r="C48" s="1">
        <v>2023</v>
      </c>
      <c r="E48" s="3">
        <v>3954000</v>
      </c>
      <c r="F48" s="3">
        <v>50464000</v>
      </c>
      <c r="G48" s="3">
        <v>199319000</v>
      </c>
      <c r="H48" s="3">
        <v>381775000</v>
      </c>
      <c r="I48" s="4">
        <f>H48*1.17</f>
        <v>446676750</v>
      </c>
      <c r="J48" s="2">
        <v>1495</v>
      </c>
      <c r="K48" s="2">
        <v>17770</v>
      </c>
      <c r="L48" s="2">
        <v>18.32</v>
      </c>
      <c r="M48" s="8">
        <v>1.4</v>
      </c>
      <c r="N48" s="2">
        <v>25</v>
      </c>
      <c r="P48" s="7">
        <f t="shared" si="0"/>
        <v>22.680454620167694</v>
      </c>
      <c r="Q48" s="7">
        <f t="shared" si="1"/>
        <v>47.353104273267704</v>
      </c>
      <c r="R48" s="2">
        <f>LOG(L48/K48+1,AB$3)</f>
        <v>15.200691867796216</v>
      </c>
      <c r="S48" s="2">
        <f t="shared" si="3"/>
        <v>24.046866301922773</v>
      </c>
      <c r="U48" s="7">
        <f>(P48+Q48)/2</f>
        <v>35.016779446717699</v>
      </c>
      <c r="V48" s="2">
        <f>(P48+Q48+R48)/3</f>
        <v>28.411416920410534</v>
      </c>
      <c r="W48" s="2">
        <f>(P48+Q48+S48)/3</f>
        <v>31.360141731786058</v>
      </c>
      <c r="X48" s="2">
        <f>(P48*2+Q48*2+R48+S48)/6</f>
        <v>29.885779326098298</v>
      </c>
    </row>
    <row r="49" spans="1:24">
      <c r="A49" s="1" t="s">
        <v>41</v>
      </c>
      <c r="B49" s="1" t="s">
        <v>31</v>
      </c>
      <c r="C49" s="1">
        <v>2023</v>
      </c>
      <c r="E49" s="3">
        <v>15058000</v>
      </c>
      <c r="F49" s="3">
        <v>107002000</v>
      </c>
      <c r="G49" s="3">
        <v>507211000</v>
      </c>
      <c r="H49" s="3">
        <v>985279000</v>
      </c>
      <c r="I49" s="4">
        <f>H49*1.17</f>
        <v>1152776430</v>
      </c>
      <c r="J49" s="2">
        <v>3530</v>
      </c>
      <c r="K49" s="2">
        <v>37190</v>
      </c>
      <c r="L49" s="2">
        <v>74.2</v>
      </c>
      <c r="M49" s="8">
        <v>1.5</v>
      </c>
      <c r="N49" s="2">
        <v>18</v>
      </c>
      <c r="P49" s="7">
        <f t="shared" si="0"/>
        <v>20.858051079363157</v>
      </c>
      <c r="Q49" s="7">
        <f t="shared" si="1"/>
        <v>49.395291317073685</v>
      </c>
      <c r="R49" s="2">
        <f t="shared" si="2"/>
        <v>29.403154724387889</v>
      </c>
      <c r="S49" s="2">
        <f t="shared" si="3"/>
        <v>8.8692153833875054</v>
      </c>
      <c r="U49" s="7">
        <f>(P49+Q49)/2</f>
        <v>35.126671198218418</v>
      </c>
      <c r="V49" s="2">
        <f>(P49+Q49+R49)/3</f>
        <v>33.218832373608244</v>
      </c>
      <c r="W49" s="2">
        <f>(P49+Q49+S49)/3</f>
        <v>26.374185926608117</v>
      </c>
      <c r="X49" s="2">
        <f>(P49*2+Q49*2+R49+S49)/6</f>
        <v>29.796509150108179</v>
      </c>
    </row>
    <row r="50" spans="1:24">
      <c r="A50" s="1" t="s">
        <v>41</v>
      </c>
      <c r="B50" s="1" t="s">
        <v>32</v>
      </c>
      <c r="C50" s="1">
        <v>2023</v>
      </c>
      <c r="E50" s="3">
        <v>3189000</v>
      </c>
      <c r="F50" s="3">
        <v>59459000</v>
      </c>
      <c r="G50" s="3">
        <v>256284000</v>
      </c>
      <c r="H50" s="3">
        <v>518675000</v>
      </c>
      <c r="I50" s="4">
        <f>H50*1.17</f>
        <v>606849750</v>
      </c>
      <c r="J50" s="2">
        <v>2160</v>
      </c>
      <c r="K50" s="2">
        <v>23420</v>
      </c>
      <c r="L50" s="2">
        <v>35.11</v>
      </c>
      <c r="M50" s="8">
        <v>1.5</v>
      </c>
      <c r="N50" s="2">
        <v>23</v>
      </c>
      <c r="P50" s="7">
        <f t="shared" si="0"/>
        <v>20.828162077532319</v>
      </c>
      <c r="Q50" s="7">
        <f t="shared" si="1"/>
        <v>48.109291556542622</v>
      </c>
      <c r="R50" s="2">
        <f t="shared" si="2"/>
        <v>22.098749172119511</v>
      </c>
      <c r="S50" s="2">
        <f>LOG(M50*N50/K50+1,AC$3)</f>
        <v>17.98944389603313</v>
      </c>
      <c r="U50" s="7">
        <f>(P50+Q50)/2</f>
        <v>34.468726817037471</v>
      </c>
      <c r="V50" s="2">
        <f>(P50+Q50+R50)/3</f>
        <v>30.34540093539815</v>
      </c>
      <c r="W50" s="2">
        <f>(P50+Q50+S50)/3</f>
        <v>28.975632510036025</v>
      </c>
      <c r="X50" s="2">
        <f>(P50*2+Q50*2+R50+S50)/6</f>
        <v>29.660516722717087</v>
      </c>
    </row>
    <row r="51" spans="1:24">
      <c r="A51" s="1" t="s">
        <v>41</v>
      </c>
      <c r="B51" s="1" t="s">
        <v>25</v>
      </c>
      <c r="C51" s="1">
        <v>2023</v>
      </c>
      <c r="E51" s="3">
        <v>1397000</v>
      </c>
      <c r="F51" s="3">
        <v>90199000</v>
      </c>
      <c r="G51" s="3">
        <v>310617000</v>
      </c>
      <c r="H51" s="3">
        <v>636381000</v>
      </c>
      <c r="I51" s="4">
        <f>H51*1.17</f>
        <v>744565770</v>
      </c>
      <c r="J51" s="2">
        <v>2940</v>
      </c>
      <c r="K51" s="2">
        <v>33985</v>
      </c>
      <c r="L51" s="2">
        <v>41.21</v>
      </c>
      <c r="M51" s="8">
        <v>1.7</v>
      </c>
      <c r="N51" s="2">
        <v>26</v>
      </c>
      <c r="P51" s="7">
        <f t="shared" si="0"/>
        <v>23.68356595607824</v>
      </c>
      <c r="Q51" s="7">
        <f t="shared" si="1"/>
        <v>46.675490320276438</v>
      </c>
      <c r="R51" s="2">
        <f t="shared" si="2"/>
        <v>17.877271999088023</v>
      </c>
      <c r="S51" s="2">
        <f t="shared" si="3"/>
        <v>15.883929448056682</v>
      </c>
      <c r="U51" s="7">
        <f>(P51+Q51)/2</f>
        <v>35.179528138177339</v>
      </c>
      <c r="V51" s="2">
        <f>(P51+Q51+R51)/3</f>
        <v>29.412109425147566</v>
      </c>
      <c r="W51" s="2">
        <f>(P51+Q51+S51)/3</f>
        <v>28.747661908137118</v>
      </c>
      <c r="X51" s="2">
        <f>(P51*2+Q51*2+R51+S51)/6</f>
        <v>29.079885666642344</v>
      </c>
    </row>
    <row r="52" spans="1:24">
      <c r="A52" s="1" t="s">
        <v>41</v>
      </c>
      <c r="B52" s="1" t="s">
        <v>28</v>
      </c>
      <c r="C52" s="1">
        <v>2023</v>
      </c>
      <c r="E52" s="3">
        <v>1500000</v>
      </c>
      <c r="F52" s="3">
        <v>46700000</v>
      </c>
      <c r="G52" s="3">
        <v>205900000</v>
      </c>
      <c r="H52" s="3">
        <v>363000000</v>
      </c>
      <c r="I52" s="4">
        <f>H52*1.17</f>
        <v>424710000</v>
      </c>
      <c r="J52" s="2">
        <v>1290</v>
      </c>
      <c r="K52" s="2">
        <v>18890</v>
      </c>
      <c r="L52" s="2">
        <v>34.130000000000003</v>
      </c>
      <c r="M52" s="8">
        <v>1.6</v>
      </c>
      <c r="N52" s="2">
        <v>16</v>
      </c>
      <c r="P52" s="7">
        <f t="shared" si="0"/>
        <v>20.096173262741683</v>
      </c>
      <c r="Q52" s="7">
        <f t="shared" si="1"/>
        <v>45.373095883812233</v>
      </c>
      <c r="R52" s="2">
        <f t="shared" si="2"/>
        <v>26.629399619623761</v>
      </c>
      <c r="S52" s="2">
        <f t="shared" si="3"/>
        <v>16.550804536769956</v>
      </c>
      <c r="U52" s="7">
        <f>(P52+Q52)/2</f>
        <v>32.734634573276956</v>
      </c>
      <c r="V52" s="2">
        <f>(P52+Q52+R52)/3</f>
        <v>30.699556255392555</v>
      </c>
      <c r="W52" s="2">
        <f>(P52+Q52+S52)/3</f>
        <v>27.340024561107956</v>
      </c>
      <c r="X52" s="2">
        <f>(P52*2+Q52*2+R52+S52)/6</f>
        <v>29.019790408250259</v>
      </c>
    </row>
    <row r="53" spans="1:24">
      <c r="A53" s="1" t="s">
        <v>41</v>
      </c>
      <c r="B53" s="1" t="s">
        <v>37</v>
      </c>
      <c r="C53" s="1">
        <v>2022</v>
      </c>
      <c r="E53" s="3">
        <v>4300000</v>
      </c>
      <c r="F53" s="3">
        <v>108500000</v>
      </c>
      <c r="G53" s="3">
        <v>433700000</v>
      </c>
      <c r="H53" s="3">
        <v>801800000</v>
      </c>
      <c r="I53" s="4">
        <f>H53*1.17</f>
        <v>938106000</v>
      </c>
      <c r="J53" s="2">
        <v>3320</v>
      </c>
      <c r="K53" s="2">
        <v>37260</v>
      </c>
      <c r="L53" s="2">
        <v>57.68</v>
      </c>
      <c r="M53" s="8">
        <v>1.4</v>
      </c>
      <c r="N53" s="2">
        <v>22</v>
      </c>
      <c r="P53" s="7">
        <f t="shared" si="0"/>
        <v>21.748842950926839</v>
      </c>
      <c r="Q53" s="7">
        <f t="shared" si="1"/>
        <v>47.718294388763745</v>
      </c>
      <c r="R53" s="2">
        <f t="shared" si="2"/>
        <v>22.818944447626308</v>
      </c>
      <c r="S53" s="2">
        <f t="shared" si="3"/>
        <v>10.097960000274087</v>
      </c>
      <c r="U53" s="7">
        <f>(P53+Q53)/2</f>
        <v>34.73356866984529</v>
      </c>
      <c r="V53" s="2">
        <f>(P53+Q53+R53)/3</f>
        <v>30.762027262438963</v>
      </c>
      <c r="W53" s="2">
        <f>(P53+Q53+S53)/3</f>
        <v>26.521699113321556</v>
      </c>
      <c r="X53" s="2">
        <f>(P53*2+Q53*2+R53+S53)/6</f>
        <v>28.641863187880261</v>
      </c>
    </row>
    <row r="54" spans="1:24">
      <c r="A54" s="1" t="s">
        <v>40</v>
      </c>
      <c r="B54" s="1" t="s">
        <v>43</v>
      </c>
      <c r="C54" s="1">
        <v>2023</v>
      </c>
      <c r="E54" s="4">
        <v>5500000</v>
      </c>
      <c r="F54" s="4">
        <v>12600000</v>
      </c>
      <c r="G54" s="4">
        <v>219892056</v>
      </c>
      <c r="H54" s="4">
        <v>291098453</v>
      </c>
      <c r="I54" s="4">
        <f>H54</f>
        <v>291098453</v>
      </c>
      <c r="J54" s="2">
        <v>689</v>
      </c>
      <c r="K54" s="2">
        <v>15107</v>
      </c>
      <c r="L54" s="2">
        <v>1.68</v>
      </c>
      <c r="M54" s="8">
        <v>1.4</v>
      </c>
      <c r="N54" s="2">
        <v>10</v>
      </c>
      <c r="P54" s="7">
        <f t="shared" si="0"/>
        <v>8.6270602434172545</v>
      </c>
      <c r="Q54" s="7">
        <f t="shared" si="1"/>
        <v>41.922418967318173</v>
      </c>
      <c r="R54" s="2">
        <f t="shared" si="2"/>
        <v>1.6404235351747343</v>
      </c>
      <c r="S54" s="2">
        <f t="shared" si="3"/>
        <v>11.320193910889124</v>
      </c>
      <c r="U54" s="7">
        <f>(P54+Q54)/2</f>
        <v>25.274739605367714</v>
      </c>
      <c r="V54" s="2">
        <f>(P54+Q54+R54)/3</f>
        <v>17.396634248636719</v>
      </c>
      <c r="W54" s="2">
        <f>(P54+Q54+S54)/3</f>
        <v>20.623224373874852</v>
      </c>
      <c r="X54" s="2">
        <f>(P54*2+Q54*2+R54+S54)/6</f>
        <v>19.009929311255785</v>
      </c>
    </row>
    <row r="55" spans="1:24">
      <c r="A55" s="1" t="s">
        <v>41</v>
      </c>
      <c r="B55" s="1" t="s">
        <v>35</v>
      </c>
      <c r="C55" s="1">
        <v>2022</v>
      </c>
      <c r="E55" s="3">
        <v>5800000</v>
      </c>
      <c r="F55" s="3">
        <v>113800000</v>
      </c>
      <c r="G55" s="3">
        <v>432100000</v>
      </c>
      <c r="H55" s="3">
        <v>554000000</v>
      </c>
      <c r="I55" s="4">
        <f>H55*1.17</f>
        <v>648180000</v>
      </c>
      <c r="J55" s="2">
        <v>3255</v>
      </c>
      <c r="K55" s="2">
        <v>151840</v>
      </c>
      <c r="L55" s="2">
        <v>0</v>
      </c>
      <c r="M55" s="8">
        <v>1.4</v>
      </c>
      <c r="N55" s="2">
        <v>16</v>
      </c>
      <c r="P55" s="7">
        <f t="shared" si="0"/>
        <v>22.796298998839923</v>
      </c>
      <c r="Q55" s="7">
        <f t="shared" si="1"/>
        <v>27.932222597474823</v>
      </c>
      <c r="R55" s="2">
        <f t="shared" si="2"/>
        <v>0</v>
      </c>
      <c r="S55" s="2">
        <f t="shared" si="3"/>
        <v>1.8027479410991685</v>
      </c>
      <c r="U55" s="7">
        <f>(P55+Q55)/2</f>
        <v>25.364260798157375</v>
      </c>
      <c r="V55" s="2">
        <f>(P55+Q55+R55)/3</f>
        <v>16.909507198771582</v>
      </c>
      <c r="W55" s="2">
        <f>(P55+Q55+S55)/3</f>
        <v>17.510423179137973</v>
      </c>
      <c r="X55" s="2">
        <f>(P55*2+Q55*2+R55+S55)/6</f>
        <v>17.209965188954779</v>
      </c>
    </row>
    <row r="57" spans="1:24">
      <c r="E57" s="4"/>
      <c r="F57" s="4"/>
      <c r="G57" s="4"/>
      <c r="H57" s="4"/>
    </row>
    <row r="58" spans="1:24">
      <c r="E58" s="4"/>
      <c r="F58" s="4"/>
      <c r="G58" s="4"/>
      <c r="H58" s="4"/>
    </row>
    <row r="59" spans="1:24">
      <c r="E59" s="4"/>
      <c r="F59" s="4"/>
      <c r="G59" s="4"/>
      <c r="H59" s="4"/>
    </row>
    <row r="60" spans="1:24">
      <c r="E60" s="4"/>
      <c r="F60" s="4"/>
      <c r="G60" s="4"/>
      <c r="H60" s="4"/>
    </row>
    <row r="61" spans="1:24">
      <c r="E61" s="4"/>
      <c r="F61" s="4"/>
      <c r="G61" s="4"/>
      <c r="H61" s="4"/>
    </row>
    <row r="62" spans="1:24">
      <c r="E62" s="4"/>
      <c r="F62" s="4"/>
      <c r="G62" s="4"/>
      <c r="H62" s="4"/>
    </row>
    <row r="63" spans="1:24">
      <c r="E63" s="4"/>
      <c r="F63" s="4"/>
      <c r="G63" s="4"/>
      <c r="H63" s="4"/>
    </row>
    <row r="64" spans="1:24">
      <c r="E64" s="4"/>
      <c r="F64" s="4"/>
      <c r="G64" s="4"/>
      <c r="H64" s="4"/>
    </row>
    <row r="65" spans="5:8">
      <c r="E65" s="4"/>
      <c r="F65" s="4"/>
      <c r="G65" s="4"/>
      <c r="H65" s="4"/>
    </row>
    <row r="66" spans="5:8">
      <c r="E66" s="4"/>
      <c r="F66" s="4"/>
      <c r="G66" s="4"/>
      <c r="H66" s="4"/>
    </row>
    <row r="67" spans="5:8">
      <c r="E67" s="4"/>
      <c r="F67" s="4"/>
      <c r="G67" s="4"/>
      <c r="H67" s="4"/>
    </row>
  </sheetData>
  <sortState xmlns:xlrd2="http://schemas.microsoft.com/office/spreadsheetml/2017/richdata2" ref="A1:X55">
    <sortCondition descending="1" ref="X1:X55"/>
  </sortState>
  <mergeCells count="2">
    <mergeCell ref="Z2:AC2"/>
    <mergeCell ref="Z4:AC4"/>
  </mergeCells>
  <phoneticPr fontId="1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艺峰 李</dc:creator>
  <cp:lastModifiedBy>艺峰 李</cp:lastModifiedBy>
  <dcterms:created xsi:type="dcterms:W3CDTF">2024-03-31T11:54:46Z</dcterms:created>
  <dcterms:modified xsi:type="dcterms:W3CDTF">2024-04-02T08:41:05Z</dcterms:modified>
</cp:coreProperties>
</file>