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9140" windowHeight="9552"/>
  </bookViews>
  <sheets>
    <sheet name="TO&amp;Landing Sensibility Analysis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B30" i="1" l="1"/>
  <c r="M33" i="1"/>
  <c r="M34" i="1"/>
  <c r="M35" i="1"/>
  <c r="M36" i="1"/>
  <c r="M32" i="1"/>
  <c r="L32" i="1"/>
  <c r="N32" i="1" s="1"/>
  <c r="L33" i="1"/>
  <c r="N33" i="1" s="1"/>
  <c r="L34" i="1"/>
  <c r="N34" i="1" s="1"/>
  <c r="L35" i="1"/>
  <c r="N35" i="1" s="1"/>
  <c r="L36" i="1"/>
  <c r="N36" i="1" s="1"/>
  <c r="J32" i="1"/>
  <c r="J33" i="1"/>
  <c r="J34" i="1"/>
  <c r="J35" i="1"/>
  <c r="J36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2" i="1"/>
  <c r="B10" i="1"/>
  <c r="C10" i="1"/>
  <c r="C17" i="1" s="1"/>
  <c r="B45" i="1" s="1"/>
  <c r="B9" i="1"/>
  <c r="C9" i="1" s="1"/>
  <c r="A45" i="1" s="1"/>
  <c r="O32" i="1" l="1"/>
  <c r="O34" i="1"/>
  <c r="O33" i="1"/>
  <c r="H32" i="1"/>
  <c r="O35" i="1"/>
  <c r="H36" i="1"/>
  <c r="A25" i="1"/>
  <c r="A30" i="1"/>
  <c r="A41" i="1"/>
  <c r="A46" i="1"/>
  <c r="B44" i="1"/>
  <c r="E45" i="1"/>
  <c r="F45" i="1" s="1"/>
  <c r="G45" i="1" s="1"/>
  <c r="O36" i="1"/>
  <c r="H33" i="1"/>
  <c r="A32" i="1"/>
  <c r="A35" i="1"/>
  <c r="H34" i="1"/>
  <c r="A31" i="1"/>
  <c r="B43" i="1"/>
  <c r="A22" i="1"/>
  <c r="A38" i="1"/>
  <c r="A23" i="1"/>
  <c r="A39" i="1"/>
  <c r="H35" i="1"/>
  <c r="A24" i="1"/>
  <c r="A40" i="1"/>
  <c r="A36" i="1"/>
  <c r="A33" i="1"/>
  <c r="A28" i="1"/>
  <c r="A34" i="1"/>
  <c r="A44" i="1"/>
  <c r="E44" i="1" s="1"/>
  <c r="F44" i="1" s="1"/>
  <c r="G44" i="1" s="1"/>
  <c r="B46" i="1"/>
  <c r="A26" i="1"/>
  <c r="A42" i="1"/>
  <c r="A27" i="1"/>
  <c r="A43" i="1"/>
  <c r="B42" i="1"/>
  <c r="A29" i="1"/>
  <c r="A37" i="1"/>
  <c r="D17" i="1"/>
  <c r="A13" i="1"/>
  <c r="B13" i="1" s="1"/>
  <c r="A16" i="1"/>
  <c r="B16" i="1" s="1"/>
  <c r="A14" i="1"/>
  <c r="B14" i="1" s="1"/>
  <c r="A15" i="1"/>
  <c r="B15" i="1" s="1"/>
  <c r="A17" i="1"/>
  <c r="B17" i="1" s="1"/>
  <c r="C15" i="1"/>
  <c r="C13" i="1"/>
  <c r="C14" i="1"/>
  <c r="C16" i="1"/>
  <c r="E46" i="1" l="1"/>
  <c r="F46" i="1" s="1"/>
  <c r="G46" i="1" s="1"/>
  <c r="E43" i="1"/>
  <c r="F43" i="1" s="1"/>
  <c r="G43" i="1" s="1"/>
  <c r="E42" i="1"/>
  <c r="F42" i="1" s="1"/>
  <c r="G42" i="1" s="1"/>
  <c r="E30" i="1"/>
  <c r="F30" i="1" s="1"/>
  <c r="G30" i="1" s="1"/>
  <c r="B31" i="1"/>
  <c r="E31" i="1" s="1"/>
  <c r="F31" i="1" s="1"/>
  <c r="G31" i="1" s="1"/>
  <c r="B28" i="1"/>
  <c r="E28" i="1" s="1"/>
  <c r="F28" i="1" s="1"/>
  <c r="G28" i="1" s="1"/>
  <c r="B29" i="1"/>
  <c r="E29" i="1" s="1"/>
  <c r="F29" i="1" s="1"/>
  <c r="G29" i="1" s="1"/>
  <c r="B27" i="1"/>
  <c r="E27" i="1" s="1"/>
  <c r="F27" i="1" s="1"/>
  <c r="G27" i="1" s="1"/>
  <c r="B37" i="1"/>
  <c r="E37" i="1" s="1"/>
  <c r="F37" i="1" s="1"/>
  <c r="G37" i="1" s="1"/>
  <c r="B41" i="1"/>
  <c r="E41" i="1" s="1"/>
  <c r="F41" i="1" s="1"/>
  <c r="G41" i="1" s="1"/>
  <c r="B38" i="1"/>
  <c r="E38" i="1" s="1"/>
  <c r="F38" i="1" s="1"/>
  <c r="G38" i="1" s="1"/>
  <c r="B39" i="1"/>
  <c r="E39" i="1" s="1"/>
  <c r="F39" i="1" s="1"/>
  <c r="G39" i="1" s="1"/>
  <c r="B40" i="1"/>
  <c r="E40" i="1" s="1"/>
  <c r="F40" i="1" s="1"/>
  <c r="G40" i="1" s="1"/>
  <c r="B24" i="1"/>
  <c r="E24" i="1" s="1"/>
  <c r="F24" i="1" s="1"/>
  <c r="G24" i="1" s="1"/>
  <c r="B25" i="1"/>
  <c r="E25" i="1" s="1"/>
  <c r="F25" i="1" s="1"/>
  <c r="G25" i="1" s="1"/>
  <c r="B26" i="1"/>
  <c r="E26" i="1" s="1"/>
  <c r="F26" i="1" s="1"/>
  <c r="G26" i="1" s="1"/>
  <c r="B23" i="1"/>
  <c r="E23" i="1" s="1"/>
  <c r="F23" i="1" s="1"/>
  <c r="G23" i="1" s="1"/>
  <c r="B22" i="1"/>
  <c r="E22" i="1" s="1"/>
  <c r="F22" i="1" s="1"/>
  <c r="G22" i="1" s="1"/>
  <c r="B33" i="1"/>
  <c r="E33" i="1" s="1"/>
  <c r="F33" i="1" s="1"/>
  <c r="G33" i="1" s="1"/>
  <c r="B36" i="1"/>
  <c r="E36" i="1" s="1"/>
  <c r="F36" i="1" s="1"/>
  <c r="G36" i="1" s="1"/>
  <c r="B34" i="1"/>
  <c r="E34" i="1" s="1"/>
  <c r="F34" i="1" s="1"/>
  <c r="G34" i="1" s="1"/>
  <c r="B35" i="1"/>
  <c r="E35" i="1" s="1"/>
  <c r="F35" i="1" s="1"/>
  <c r="G35" i="1" s="1"/>
  <c r="B32" i="1"/>
  <c r="E32" i="1" s="1"/>
  <c r="F32" i="1" s="1"/>
  <c r="G32" i="1" s="1"/>
  <c r="D16" i="1"/>
  <c r="D14" i="1"/>
  <c r="D13" i="1"/>
  <c r="D15" i="1"/>
</calcChain>
</file>

<file path=xl/sharedStrings.xml><?xml version="1.0" encoding="utf-8"?>
<sst xmlns="http://schemas.openxmlformats.org/spreadsheetml/2006/main" count="31" uniqueCount="23">
  <si>
    <t>B747-100B</t>
  </si>
  <si>
    <t>W</t>
  </si>
  <si>
    <t>S</t>
  </si>
  <si>
    <t>T0</t>
  </si>
  <si>
    <t>W/S</t>
  </si>
  <si>
    <t>T/W</t>
  </si>
  <si>
    <t>Model Data</t>
  </si>
  <si>
    <t>W/S and T/W variation range</t>
  </si>
  <si>
    <t>Take-Off analysis</t>
  </si>
  <si>
    <t>TO length</t>
  </si>
  <si>
    <t>FAR-25 TO length</t>
  </si>
  <si>
    <t>TOP 25</t>
  </si>
  <si>
    <t>CLmaxTO</t>
  </si>
  <si>
    <t>σ</t>
  </si>
  <si>
    <t>Statistical Field Length</t>
  </si>
  <si>
    <t>Difference (%)</t>
  </si>
  <si>
    <t>Landing analysis</t>
  </si>
  <si>
    <t>Landing field length</t>
  </si>
  <si>
    <t>FAR-25 Landing field length</t>
  </si>
  <si>
    <t>T0 (x1 Eng)</t>
  </si>
  <si>
    <t>Va (m/s)</t>
  </si>
  <si>
    <t>Va (kts)</t>
  </si>
  <si>
    <t>Va^2 (m^2/s^2)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</si>
</sst>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0" formatCode="0\ \k\g"/>
    <numFmt numFmtId="171" formatCode="0\ \m\^\2"/>
    <numFmt numFmtId="172" formatCode="0\ \N"/>
    <numFmt numFmtId="173" formatCode="0\ \k\g\/\m\^\2"/>
    <numFmt numFmtId="175" formatCode="0\ \l\b\/\f\t\^\2"/>
    <numFmt numFmtId="180" formatCode="0.00\ \l\b\/\l\b"/>
    <numFmt numFmtId="188" formatCode="0.000\ \l\b\/\l\b"/>
    <numFmt numFmtId="189" formatCode="0.000\ \N\/\k\g"/>
    <numFmt numFmtId="195" formatCode="0.00\ \m"/>
    <numFmt numFmtId="197" formatCode="0.0\ \m"/>
    <numFmt numFmtId="199" formatCode="0.00\ \k\t\s"/>
    <numFmt numFmtId="200" formatCode="0\ \m\/\s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medium">
        <color indexed="64"/>
      </right>
      <top style="thick">
        <color rgb="FFFF0000"/>
      </top>
      <bottom/>
      <diagonal/>
    </border>
    <border>
      <left/>
      <right style="medium">
        <color indexed="64"/>
      </right>
      <top/>
      <bottom style="thick">
        <color rgb="FFFF0000"/>
      </bottom>
      <diagonal/>
    </border>
    <border>
      <left/>
      <right style="medium">
        <color indexed="64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1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175" fontId="2" fillId="0" borderId="11" xfId="0" applyNumberFormat="1" applyFont="1" applyBorder="1" applyAlignment="1">
      <alignment horizontal="center"/>
    </xf>
    <xf numFmtId="180" fontId="2" fillId="0" borderId="7" xfId="0" applyNumberFormat="1" applyFont="1" applyBorder="1" applyAlignment="1">
      <alignment horizontal="center"/>
    </xf>
    <xf numFmtId="173" fontId="2" fillId="0" borderId="9" xfId="0" applyNumberFormat="1" applyFont="1" applyBorder="1" applyAlignment="1"/>
    <xf numFmtId="180" fontId="2" fillId="0" borderId="5" xfId="0" applyNumberFormat="1" applyFont="1" applyBorder="1" applyAlignment="1">
      <alignment horizontal="center"/>
    </xf>
    <xf numFmtId="171" fontId="2" fillId="5" borderId="15" xfId="0" applyNumberFormat="1" applyFont="1" applyFill="1" applyBorder="1"/>
    <xf numFmtId="175" fontId="2" fillId="0" borderId="1" xfId="0" applyNumberFormat="1" applyFont="1" applyBorder="1"/>
    <xf numFmtId="188" fontId="2" fillId="0" borderId="1" xfId="0" applyNumberFormat="1" applyFont="1" applyBorder="1"/>
    <xf numFmtId="189" fontId="2" fillId="0" borderId="10" xfId="0" applyNumberFormat="1" applyFont="1" applyBorder="1" applyAlignment="1"/>
    <xf numFmtId="172" fontId="2" fillId="5" borderId="15" xfId="0" applyNumberFormat="1" applyFont="1" applyFill="1" applyBorder="1"/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0" fillId="0" borderId="0" xfId="0" applyBorder="1"/>
    <xf numFmtId="0" fontId="0" fillId="8" borderId="4" xfId="0" applyFill="1" applyBorder="1"/>
    <xf numFmtId="0" fontId="0" fillId="8" borderId="12" xfId="0" applyFill="1" applyBorder="1"/>
    <xf numFmtId="0" fontId="0" fillId="8" borderId="7" xfId="0" applyFill="1" applyBorder="1"/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 vertical="center"/>
    </xf>
    <xf numFmtId="175" fontId="2" fillId="0" borderId="12" xfId="0" applyNumberFormat="1" applyFont="1" applyBorder="1" applyAlignment="1">
      <alignment horizontal="center"/>
    </xf>
    <xf numFmtId="0" fontId="2" fillId="4" borderId="8" xfId="0" applyFont="1" applyFill="1" applyBorder="1" applyAlignment="1">
      <alignment horizontal="left" vertical="center"/>
    </xf>
    <xf numFmtId="170" fontId="2" fillId="0" borderId="3" xfId="0" applyNumberFormat="1" applyFont="1" applyBorder="1" applyAlignment="1">
      <alignment horizontal="center" vertical="center"/>
    </xf>
    <xf numFmtId="170" fontId="2" fillId="0" borderId="4" xfId="0" applyNumberFormat="1" applyFont="1" applyBorder="1" applyAlignment="1">
      <alignment horizontal="center" vertical="center"/>
    </xf>
    <xf numFmtId="171" fontId="2" fillId="0" borderId="0" xfId="0" applyNumberFormat="1" applyFont="1" applyBorder="1" applyAlignment="1">
      <alignment horizontal="center" vertical="center"/>
    </xf>
    <xf numFmtId="171" fontId="2" fillId="0" borderId="12" xfId="0" applyNumberFormat="1" applyFont="1" applyBorder="1" applyAlignment="1">
      <alignment horizontal="center" vertical="center"/>
    </xf>
    <xf numFmtId="172" fontId="2" fillId="0" borderId="0" xfId="0" applyNumberFormat="1" applyFont="1" applyBorder="1" applyAlignment="1">
      <alignment horizontal="center" vertical="center"/>
    </xf>
    <xf numFmtId="172" fontId="2" fillId="0" borderId="12" xfId="0" applyNumberFormat="1" applyFont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95" fontId="2" fillId="6" borderId="11" xfId="0" applyNumberFormat="1" applyFont="1" applyFill="1" applyBorder="1"/>
    <xf numFmtId="195" fontId="2" fillId="6" borderId="5" xfId="0" applyNumberFormat="1" applyFont="1" applyFill="1" applyBorder="1"/>
    <xf numFmtId="195" fontId="2" fillId="6" borderId="12" xfId="0" applyNumberFormat="1" applyFont="1" applyFill="1" applyBorder="1"/>
    <xf numFmtId="195" fontId="2" fillId="6" borderId="7" xfId="0" applyNumberFormat="1" applyFont="1" applyFill="1" applyBorder="1"/>
    <xf numFmtId="175" fontId="0" fillId="0" borderId="8" xfId="0" applyNumberFormat="1" applyFont="1" applyBorder="1"/>
    <xf numFmtId="175" fontId="0" fillId="0" borderId="9" xfId="0" applyNumberFormat="1" applyFont="1" applyBorder="1"/>
    <xf numFmtId="175" fontId="0" fillId="0" borderId="10" xfId="0" applyNumberFormat="1" applyFont="1" applyBorder="1"/>
    <xf numFmtId="2" fontId="1" fillId="2" borderId="8" xfId="1" applyNumberFormat="1" applyBorder="1"/>
    <xf numFmtId="2" fontId="1" fillId="2" borderId="9" xfId="1" applyNumberFormat="1" applyBorder="1"/>
    <xf numFmtId="2" fontId="1" fillId="2" borderId="10" xfId="1" applyNumberFormat="1" applyBorder="1"/>
    <xf numFmtId="175" fontId="0" fillId="0" borderId="17" xfId="0" applyNumberFormat="1" applyFont="1" applyBorder="1"/>
    <xf numFmtId="188" fontId="0" fillId="0" borderId="17" xfId="0" applyNumberFormat="1" applyFont="1" applyBorder="1"/>
    <xf numFmtId="195" fontId="2" fillId="6" borderId="16" xfId="0" applyNumberFormat="1" applyFont="1" applyFill="1" applyBorder="1"/>
    <xf numFmtId="2" fontId="1" fillId="2" borderId="16" xfId="1" applyNumberFormat="1" applyBorder="1"/>
    <xf numFmtId="195" fontId="2" fillId="6" borderId="17" xfId="0" applyNumberFormat="1" applyFont="1" applyFill="1" applyBorder="1"/>
    <xf numFmtId="0" fontId="0" fillId="0" borderId="18" xfId="0" applyBorder="1"/>
    <xf numFmtId="195" fontId="2" fillId="6" borderId="20" xfId="0" applyNumberFormat="1" applyFont="1" applyFill="1" applyBorder="1"/>
    <xf numFmtId="195" fontId="0" fillId="0" borderId="12" xfId="0" applyNumberFormat="1" applyFont="1" applyBorder="1"/>
    <xf numFmtId="195" fontId="0" fillId="0" borderId="7" xfId="0" applyNumberFormat="1" applyFont="1" applyBorder="1"/>
    <xf numFmtId="195" fontId="2" fillId="6" borderId="8" xfId="0" applyNumberFormat="1" applyFont="1" applyFill="1" applyBorder="1"/>
    <xf numFmtId="195" fontId="2" fillId="6" borderId="9" xfId="0" applyNumberFormat="1" applyFont="1" applyFill="1" applyBorder="1"/>
    <xf numFmtId="195" fontId="2" fillId="6" borderId="10" xfId="0" applyNumberFormat="1" applyFont="1" applyFill="1" applyBorder="1"/>
    <xf numFmtId="2" fontId="0" fillId="0" borderId="16" xfId="0" applyNumberFormat="1" applyFont="1" applyBorder="1"/>
    <xf numFmtId="175" fontId="0" fillId="0" borderId="2" xfId="0" applyNumberFormat="1" applyFont="1" applyBorder="1"/>
    <xf numFmtId="175" fontId="0" fillId="0" borderId="11" xfId="0" applyNumberFormat="1" applyFont="1" applyBorder="1"/>
    <xf numFmtId="175" fontId="0" fillId="0" borderId="5" xfId="0" applyNumberFormat="1" applyFont="1" applyBorder="1"/>
    <xf numFmtId="175" fontId="0" fillId="0" borderId="21" xfId="0" applyNumberFormat="1" applyFont="1" applyBorder="1"/>
    <xf numFmtId="175" fontId="0" fillId="0" borderId="22" xfId="0" applyNumberFormat="1" applyFont="1" applyBorder="1"/>
    <xf numFmtId="195" fontId="0" fillId="0" borderId="4" xfId="0" applyNumberFormat="1" applyFont="1" applyBorder="1"/>
    <xf numFmtId="195" fontId="0" fillId="0" borderId="23" xfId="0" applyNumberFormat="1" applyFont="1" applyBorder="1"/>
    <xf numFmtId="195" fontId="0" fillId="0" borderId="3" xfId="0" applyNumberFormat="1" applyFont="1" applyBorder="1"/>
    <xf numFmtId="195" fontId="0" fillId="0" borderId="0" xfId="0" applyNumberFormat="1" applyFont="1" applyBorder="1"/>
    <xf numFmtId="197" fontId="0" fillId="0" borderId="0" xfId="0" applyNumberFormat="1" applyFont="1" applyBorder="1"/>
    <xf numFmtId="195" fontId="0" fillId="0" borderId="6" xfId="0" applyNumberFormat="1" applyFont="1" applyBorder="1"/>
    <xf numFmtId="188" fontId="0" fillId="0" borderId="8" xfId="0" applyNumberFormat="1" applyFont="1" applyBorder="1"/>
    <xf numFmtId="188" fontId="0" fillId="0" borderId="9" xfId="0" applyNumberFormat="1" applyFont="1" applyBorder="1"/>
    <xf numFmtId="188" fontId="0" fillId="0" borderId="10" xfId="0" applyNumberFormat="1" applyFont="1" applyBorder="1"/>
    <xf numFmtId="195" fontId="2" fillId="6" borderId="2" xfId="0" applyNumberFormat="1" applyFont="1" applyFill="1" applyBorder="1"/>
    <xf numFmtId="2" fontId="0" fillId="0" borderId="2" xfId="0" applyNumberFormat="1" applyFont="1" applyBorder="1"/>
    <xf numFmtId="2" fontId="0" fillId="0" borderId="11" xfId="0" applyNumberFormat="1" applyFont="1" applyBorder="1"/>
    <xf numFmtId="2" fontId="0" fillId="0" borderId="5" xfId="0" applyNumberFormat="1" applyFont="1" applyBorder="1"/>
    <xf numFmtId="2" fontId="1" fillId="2" borderId="17" xfId="1" applyNumberFormat="1" applyBorder="1"/>
    <xf numFmtId="195" fontId="2" fillId="6" borderId="24" xfId="0" applyNumberFormat="1" applyFont="1" applyFill="1" applyBorder="1"/>
    <xf numFmtId="2" fontId="1" fillId="2" borderId="26" xfId="1" applyNumberFormat="1" applyBorder="1"/>
    <xf numFmtId="2" fontId="1" fillId="2" borderId="12" xfId="1" applyNumberFormat="1" applyBorder="1"/>
    <xf numFmtId="2" fontId="1" fillId="2" borderId="7" xfId="1" applyNumberFormat="1" applyBorder="1"/>
    <xf numFmtId="195" fontId="0" fillId="0" borderId="2" xfId="0" applyNumberFormat="1" applyFont="1" applyFill="1" applyBorder="1"/>
    <xf numFmtId="195" fontId="0" fillId="0" borderId="11" xfId="0" applyNumberFormat="1" applyFont="1" applyFill="1" applyBorder="1"/>
    <xf numFmtId="195" fontId="0" fillId="0" borderId="5" xfId="0" applyNumberFormat="1" applyFont="1" applyFill="1" applyBorder="1"/>
    <xf numFmtId="199" fontId="0" fillId="0" borderId="11" xfId="0" applyNumberFormat="1" applyFont="1" applyBorder="1"/>
    <xf numFmtId="199" fontId="0" fillId="0" borderId="5" xfId="0" applyNumberFormat="1" applyFont="1" applyBorder="1"/>
    <xf numFmtId="199" fontId="0" fillId="0" borderId="19" xfId="0" applyNumberFormat="1" applyFont="1" applyBorder="1"/>
    <xf numFmtId="2" fontId="1" fillId="2" borderId="27" xfId="1" applyNumberFormat="1" applyBorder="1"/>
    <xf numFmtId="195" fontId="0" fillId="0" borderId="20" xfId="0" applyNumberFormat="1" applyFont="1" applyFill="1" applyBorder="1"/>
    <xf numFmtId="0" fontId="5" fillId="0" borderId="0" xfId="0" applyFont="1" applyFill="1" applyBorder="1" applyAlignment="1">
      <alignment vertical="center"/>
    </xf>
    <xf numFmtId="195" fontId="0" fillId="0" borderId="24" xfId="0" applyNumberFormat="1" applyFont="1" applyBorder="1"/>
    <xf numFmtId="195" fontId="0" fillId="0" borderId="25" xfId="0" applyNumberFormat="1" applyFont="1" applyBorder="1"/>
    <xf numFmtId="0" fontId="0" fillId="8" borderId="2" xfId="0" applyFill="1" applyBorder="1"/>
    <xf numFmtId="0" fontId="0" fillId="8" borderId="3" xfId="0" applyFill="1" applyBorder="1"/>
    <xf numFmtId="0" fontId="0" fillId="8" borderId="11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200" fontId="0" fillId="0" borderId="8" xfId="0" applyNumberFormat="1" applyFont="1" applyBorder="1"/>
    <xf numFmtId="200" fontId="0" fillId="0" borderId="9" xfId="0" applyNumberFormat="1" applyFont="1" applyBorder="1"/>
    <xf numFmtId="200" fontId="0" fillId="0" borderId="10" xfId="0" applyNumberFormat="1" applyFont="1" applyBorder="1"/>
    <xf numFmtId="200" fontId="0" fillId="0" borderId="16" xfId="0" applyNumberFormat="1" applyFont="1" applyBorder="1"/>
    <xf numFmtId="200" fontId="0" fillId="0" borderId="20" xfId="0" applyNumberFormat="1" applyFont="1" applyBorder="1"/>
    <xf numFmtId="175" fontId="0" fillId="0" borderId="25" xfId="0" applyNumberFormat="1" applyFont="1" applyBorder="1"/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T/W=0.209 Statistical</c:v>
          </c:tx>
          <c:xVal>
            <c:numRef>
              <c:f>'TO&amp;Landing Sensibility Analysis'!$A$22:$A$26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Analysis'!$F$22:$F$26</c:f>
              <c:numCache>
                <c:formatCode>0.00\ \m</c:formatCode>
                <c:ptCount val="5"/>
                <c:pt idx="0">
                  <c:v>3428.1470430620843</c:v>
                </c:pt>
                <c:pt idx="1">
                  <c:v>3856.6654234448451</c:v>
                </c:pt>
                <c:pt idx="2">
                  <c:v>4285.1838038276064</c:v>
                </c:pt>
                <c:pt idx="3">
                  <c:v>4713.7021842103668</c:v>
                </c:pt>
                <c:pt idx="4">
                  <c:v>5142.2205645931272</c:v>
                </c:pt>
              </c:numCache>
            </c:numRef>
          </c:yVal>
          <c:smooth val="1"/>
        </c:ser>
        <c:ser>
          <c:idx val="1"/>
          <c:order val="1"/>
          <c:tx>
            <c:v>T/W=0.209 JPAD</c:v>
          </c:tx>
          <c:marker>
            <c:symbol val="square"/>
            <c:size val="5"/>
          </c:marker>
          <c:xVal>
            <c:numRef>
              <c:f>'TO&amp;Landing Sensibility Analysis'!$A$22:$A$26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Analysis'!$D$22:$D$26</c:f>
              <c:numCache>
                <c:formatCode>0.00\ \m</c:formatCode>
                <c:ptCount val="5"/>
                <c:pt idx="0">
                  <c:v>3342.8785254250538</c:v>
                </c:pt>
                <c:pt idx="1">
                  <c:v>3791.3550157241693</c:v>
                </c:pt>
                <c:pt idx="2">
                  <c:v>4253.4729022611045</c:v>
                </c:pt>
                <c:pt idx="3">
                  <c:v>4704.5787789691312</c:v>
                </c:pt>
                <c:pt idx="4">
                  <c:v>5170.6293405271063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30176"/>
        <c:axId val="220330752"/>
      </c:scatterChart>
      <c:valAx>
        <c:axId val="220330176"/>
        <c:scaling>
          <c:orientation val="minMax"/>
          <c:max val="175"/>
          <c:min val="10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W/S</a:t>
                </a:r>
                <a:r>
                  <a:rPr lang="it-IT" baseline="0"/>
                  <a:t> (lb/ft^2)</a:t>
                </a:r>
                <a:endParaRPr lang="it-IT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20330752"/>
        <c:crosses val="autoZero"/>
        <c:crossBetween val="midCat"/>
        <c:majorUnit val="10"/>
        <c:minorUnit val="5"/>
      </c:valAx>
      <c:valAx>
        <c:axId val="220330752"/>
        <c:scaling>
          <c:orientation val="minMax"/>
          <c:max val="5500"/>
          <c:min val="30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TO</a:t>
                </a:r>
                <a:r>
                  <a:rPr lang="it-IT" baseline="0"/>
                  <a:t> Field Length</a:t>
                </a:r>
                <a:endParaRPr lang="it-IT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20330176"/>
        <c:crosses val="autoZero"/>
        <c:crossBetween val="midCat"/>
        <c:majorUnit val="200"/>
        <c:minorUnit val="50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T/W=0.235 Statistical</c:v>
          </c:tx>
          <c:xVal>
            <c:numRef>
              <c:f>'TO&amp;Landing Sensibility Analysis'!$A$27:$A$31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Analysis'!$F$27:$F$31</c:f>
              <c:numCache>
                <c:formatCode>0.00\ \m</c:formatCode>
                <c:ptCount val="5"/>
                <c:pt idx="0">
                  <c:v>3047.2418160551861</c:v>
                </c:pt>
                <c:pt idx="1">
                  <c:v>3428.1470430620848</c:v>
                </c:pt>
                <c:pt idx="2">
                  <c:v>3809.0522700689826</c:v>
                </c:pt>
                <c:pt idx="3">
                  <c:v>4189.9574970758804</c:v>
                </c:pt>
                <c:pt idx="4">
                  <c:v>4570.8627240827791</c:v>
                </c:pt>
              </c:numCache>
            </c:numRef>
          </c:yVal>
          <c:smooth val="1"/>
        </c:ser>
        <c:ser>
          <c:idx val="1"/>
          <c:order val="1"/>
          <c:tx>
            <c:v>T/W=0.235 JPAD</c:v>
          </c:tx>
          <c:marker>
            <c:symbol val="square"/>
            <c:size val="5"/>
          </c:marker>
          <c:xVal>
            <c:numRef>
              <c:f>'TO&amp;Landing Sensibility Analysis'!$A$27:$A$31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Analysis'!$D$27:$D$31</c:f>
              <c:numCache>
                <c:formatCode>0.00\ \m</c:formatCode>
                <c:ptCount val="5"/>
                <c:pt idx="0">
                  <c:v>2921.1486539065322</c:v>
                </c:pt>
                <c:pt idx="1">
                  <c:v>3308.8057687522473</c:v>
                </c:pt>
                <c:pt idx="2">
                  <c:v>3708.0798999939898</c:v>
                </c:pt>
                <c:pt idx="3">
                  <c:v>4104.7354745743341</c:v>
                </c:pt>
                <c:pt idx="4">
                  <c:v>4509.4055200233934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85824"/>
        <c:axId val="187886400"/>
      </c:scatterChart>
      <c:valAx>
        <c:axId val="187885824"/>
        <c:scaling>
          <c:orientation val="minMax"/>
          <c:max val="175"/>
          <c:min val="10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it-IT" sz="1000" b="1" i="0" baseline="0">
                    <a:effectLst/>
                  </a:rPr>
                  <a:t>W/S (lb/ft^2)</a:t>
                </a:r>
                <a:endParaRPr lang="it-IT" sz="1000"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7886400"/>
        <c:crosses val="autoZero"/>
        <c:crossBetween val="midCat"/>
        <c:majorUnit val="10"/>
        <c:minorUnit val="5"/>
      </c:valAx>
      <c:valAx>
        <c:axId val="187886400"/>
        <c:scaling>
          <c:orientation val="minMax"/>
          <c:max val="4800"/>
          <c:min val="28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TO</a:t>
                </a:r>
                <a:r>
                  <a:rPr lang="it-IT" baseline="0"/>
                  <a:t> Field Length</a:t>
                </a:r>
                <a:endParaRPr lang="it-IT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87885824"/>
        <c:crosses val="autoZero"/>
        <c:crossBetween val="midCat"/>
        <c:majorUnit val="200"/>
        <c:minorUnit val="50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T/W=0.287 Statistical</c:v>
          </c:tx>
          <c:xVal>
            <c:numRef>
              <c:f>'TO&amp;Landing Sensibility Analysis'!$A$37:$A$41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Analysis'!$F$37:$F$41</c:f>
              <c:numCache>
                <c:formatCode>0.00\ \m</c:formatCode>
                <c:ptCount val="5"/>
                <c:pt idx="0">
                  <c:v>2493.1978494996974</c:v>
                </c:pt>
                <c:pt idx="1">
                  <c:v>2804.8475806871602</c:v>
                </c:pt>
                <c:pt idx="2">
                  <c:v>3116.497311874622</c:v>
                </c:pt>
                <c:pt idx="3">
                  <c:v>3428.1470430620839</c:v>
                </c:pt>
                <c:pt idx="4">
                  <c:v>3739.7967742495466</c:v>
                </c:pt>
              </c:numCache>
            </c:numRef>
          </c:yVal>
          <c:smooth val="1"/>
        </c:ser>
        <c:ser>
          <c:idx val="1"/>
          <c:order val="1"/>
          <c:tx>
            <c:v>T/W=0.287 JPAD</c:v>
          </c:tx>
          <c:marker>
            <c:symbol val="square"/>
            <c:size val="5"/>
          </c:marker>
          <c:xVal>
            <c:numRef>
              <c:f>'TO&amp;Landing Sensibility Analysis'!$A$37:$A$41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Analysis'!$D$37:$D$41</c:f>
              <c:numCache>
                <c:formatCode>0.00\ \m</c:formatCode>
                <c:ptCount val="5"/>
                <c:pt idx="0">
                  <c:v>2362.9225201344707</c:v>
                </c:pt>
                <c:pt idx="1">
                  <c:v>2664.5932566281031</c:v>
                </c:pt>
                <c:pt idx="2">
                  <c:v>2972.8582914938943</c:v>
                </c:pt>
                <c:pt idx="3">
                  <c:v>3283.2154999999993</c:v>
                </c:pt>
                <c:pt idx="4">
                  <c:v>3602.1135172541253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8448"/>
        <c:axId val="187891008"/>
      </c:scatterChart>
      <c:valAx>
        <c:axId val="134288448"/>
        <c:scaling>
          <c:orientation val="minMax"/>
          <c:max val="175"/>
          <c:min val="10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W/S (lb/ft^2)</a:t>
                </a:r>
                <a:endParaRPr lang="it-IT" sz="1000"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7891008"/>
        <c:crosses val="autoZero"/>
        <c:crossBetween val="midCat"/>
        <c:majorUnit val="10"/>
        <c:minorUnit val="5"/>
      </c:valAx>
      <c:valAx>
        <c:axId val="187891008"/>
        <c:scaling>
          <c:orientation val="minMax"/>
          <c:max val="3900"/>
          <c:min val="21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TO</a:t>
                </a:r>
                <a:r>
                  <a:rPr lang="it-IT" baseline="0"/>
                  <a:t> Field Length</a:t>
                </a:r>
                <a:endParaRPr lang="it-IT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3428844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T/W=0.313 Statistical</c:v>
          </c:tx>
          <c:xVal>
            <c:numRef>
              <c:f>'TO&amp;Landing Sensibility Analysis'!$A$42:$A$46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Analysis'!$F$42:$F$46</c:f>
              <c:numCache>
                <c:formatCode>0.00\ \m</c:formatCode>
                <c:ptCount val="5"/>
                <c:pt idx="0">
                  <c:v>2285.4313620413895</c:v>
                </c:pt>
                <c:pt idx="1">
                  <c:v>2571.1102822965636</c:v>
                </c:pt>
                <c:pt idx="2">
                  <c:v>2856.7892025517372</c:v>
                </c:pt>
                <c:pt idx="3">
                  <c:v>3142.4681228069103</c:v>
                </c:pt>
                <c:pt idx="4">
                  <c:v>3428.1470430620843</c:v>
                </c:pt>
              </c:numCache>
            </c:numRef>
          </c:yVal>
          <c:smooth val="1"/>
        </c:ser>
        <c:ser>
          <c:idx val="1"/>
          <c:order val="1"/>
          <c:tx>
            <c:v>T/W=0.313 JPAD</c:v>
          </c:tx>
          <c:marker>
            <c:symbol val="square"/>
            <c:size val="5"/>
          </c:marker>
          <c:xVal>
            <c:numRef>
              <c:f>'TO&amp;Landing Sensibility Analysis'!$A$42:$A$46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Analysis'!$D$42:$D$46</c:f>
              <c:numCache>
                <c:formatCode>0.00\ \m</c:formatCode>
                <c:ptCount val="5"/>
                <c:pt idx="0">
                  <c:v>2170.5854692419007</c:v>
                </c:pt>
                <c:pt idx="1">
                  <c:v>2447.6057878677443</c:v>
                </c:pt>
                <c:pt idx="2">
                  <c:v>2730.9440693907604</c:v>
                </c:pt>
                <c:pt idx="3">
                  <c:v>3013.0835210416735</c:v>
                </c:pt>
                <c:pt idx="4">
                  <c:v>3304.0108420611837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64672"/>
        <c:axId val="187889280"/>
      </c:scatterChart>
      <c:valAx>
        <c:axId val="189764672"/>
        <c:scaling>
          <c:orientation val="minMax"/>
          <c:max val="175"/>
          <c:min val="10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baseline="0">
                    <a:effectLst/>
                  </a:rPr>
                  <a:t>W/S (lb/ft^2)</a:t>
                </a:r>
                <a:endParaRPr lang="it-IT" sz="1000"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7889280"/>
        <c:crosses val="autoZero"/>
        <c:crossBetween val="midCat"/>
        <c:majorUnit val="10"/>
        <c:minorUnit val="5"/>
      </c:valAx>
      <c:valAx>
        <c:axId val="187889280"/>
        <c:scaling>
          <c:orientation val="minMax"/>
          <c:max val="3550"/>
          <c:min val="195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TO</a:t>
                </a:r>
                <a:r>
                  <a:rPr lang="it-IT" baseline="0"/>
                  <a:t> Field Length</a:t>
                </a:r>
                <a:endParaRPr lang="it-IT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89764672"/>
        <c:crosses val="autoZero"/>
        <c:crossBetween val="midCat"/>
        <c:majorUnit val="200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TO field length and JPAD calculation at different W/S and T/W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T/W=0.261 Statistical</c:v>
          </c:tx>
          <c:xVal>
            <c:numRef>
              <c:f>'TO&amp;Landing Sensibility Analysis'!$A$32:$A$36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Analysis'!$F$32:$F$36</c:f>
              <c:numCache>
                <c:formatCode>0.00\ \m</c:formatCode>
                <c:ptCount val="5"/>
                <c:pt idx="0">
                  <c:v>2742.5176344496676</c:v>
                </c:pt>
                <c:pt idx="1">
                  <c:v>3085.3323387558767</c:v>
                </c:pt>
                <c:pt idx="2">
                  <c:v>3428.1470430620843</c:v>
                </c:pt>
                <c:pt idx="3">
                  <c:v>3770.9617473682924</c:v>
                </c:pt>
                <c:pt idx="4">
                  <c:v>4113.7764516745019</c:v>
                </c:pt>
              </c:numCache>
            </c:numRef>
          </c:yVal>
          <c:smooth val="1"/>
        </c:ser>
        <c:ser>
          <c:idx val="1"/>
          <c:order val="1"/>
          <c:tx>
            <c:v>T/W=0.261 JPAD</c:v>
          </c:tx>
          <c:marker>
            <c:symbol val="square"/>
            <c:size val="5"/>
          </c:marker>
          <c:xVal>
            <c:numRef>
              <c:f>'TO&amp;Landing Sensibility Analysis'!$A$32:$A$36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Analysis'!$D$32:$D$36</c:f>
              <c:numCache>
                <c:formatCode>0.00\ \m</c:formatCode>
                <c:ptCount val="5"/>
                <c:pt idx="0">
                  <c:v>2605.2837860537043</c:v>
                </c:pt>
                <c:pt idx="1">
                  <c:v>2946.6061372538893</c:v>
                </c:pt>
                <c:pt idx="2">
                  <c:v>3295.8381032339221</c:v>
                </c:pt>
                <c:pt idx="3">
                  <c:v>3642.9185192519722</c:v>
                </c:pt>
                <c:pt idx="4">
                  <c:v>4003.1066604158646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94240"/>
        <c:axId val="215794816"/>
      </c:scatterChart>
      <c:valAx>
        <c:axId val="215794240"/>
        <c:scaling>
          <c:orientation val="minMax"/>
          <c:max val="175"/>
          <c:min val="10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it-IT" sz="1000" b="1" i="0" baseline="0">
                    <a:effectLst/>
                  </a:rPr>
                  <a:t>W/S (lb/ft^2)</a:t>
                </a:r>
                <a:endParaRPr lang="it-IT" sz="1000"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5794816"/>
        <c:crosses val="autoZero"/>
        <c:crossBetween val="midCat"/>
        <c:majorUnit val="10"/>
        <c:minorUnit val="5"/>
      </c:valAx>
      <c:valAx>
        <c:axId val="215794816"/>
        <c:scaling>
          <c:orientation val="minMax"/>
          <c:max val="4200"/>
          <c:min val="2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TO</a:t>
                </a:r>
                <a:r>
                  <a:rPr lang="it-IT" baseline="0"/>
                  <a:t> Field Length</a:t>
                </a:r>
                <a:endParaRPr lang="it-IT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215794240"/>
        <c:crosses val="autoZero"/>
        <c:crossBetween val="midCat"/>
        <c:majorUnit val="200"/>
        <c:minorUnit val="50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Comparison</a:t>
            </a:r>
            <a:r>
              <a:rPr lang="it-IT" baseline="0"/>
              <a:t> between Statistical Landing field length and JPAD calculation at different W/S 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Statistical</c:v>
          </c:tx>
          <c:xVal>
            <c:numRef>
              <c:f>'TO&amp;Landing Sensibility Analysis'!$H$32:$H$36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Analysis'!$N$32:$N$36</c:f>
              <c:numCache>
                <c:formatCode>0.00\ \m</c:formatCode>
                <c:ptCount val="5"/>
                <c:pt idx="0">
                  <c:v>1736.5597428009291</c:v>
                </c:pt>
                <c:pt idx="1">
                  <c:v>1953.6297106510726</c:v>
                </c:pt>
                <c:pt idx="2">
                  <c:v>2171.5492674164652</c:v>
                </c:pt>
                <c:pt idx="3">
                  <c:v>2386.3691949458262</c:v>
                </c:pt>
                <c:pt idx="4">
                  <c:v>2604.8396142013985</c:v>
                </c:pt>
              </c:numCache>
            </c:numRef>
          </c:yVal>
          <c:smooth val="1"/>
        </c:ser>
        <c:ser>
          <c:idx val="1"/>
          <c:order val="1"/>
          <c:tx>
            <c:v>JPAD</c:v>
          </c:tx>
          <c:marker>
            <c:symbol val="square"/>
            <c:size val="5"/>
          </c:marker>
          <c:xVal>
            <c:numRef>
              <c:f>'TO&amp;Landing Sensibility Analysis'!$H$32:$H$36</c:f>
              <c:numCache>
                <c:formatCode>0\ \l\b\/\f\t\^\2</c:formatCode>
                <c:ptCount val="5"/>
                <c:pt idx="0">
                  <c:v>113.8290337133495</c:v>
                </c:pt>
                <c:pt idx="1">
                  <c:v>128.05766292751821</c:v>
                </c:pt>
                <c:pt idx="2">
                  <c:v>142.28629214168689</c:v>
                </c:pt>
                <c:pt idx="3">
                  <c:v>156.51492135585556</c:v>
                </c:pt>
                <c:pt idx="4">
                  <c:v>170.74355057002427</c:v>
                </c:pt>
              </c:numCache>
            </c:numRef>
          </c:xVal>
          <c:yVal>
            <c:numRef>
              <c:f>'TO&amp;Landing Sensibility Analysis'!$J$32:$J$36</c:f>
              <c:numCache>
                <c:formatCode>0.00\ \m</c:formatCode>
                <c:ptCount val="5"/>
                <c:pt idx="0">
                  <c:v>1828.7975012436511</c:v>
                </c:pt>
                <c:pt idx="1">
                  <c:v>1995.3583956283953</c:v>
                </c:pt>
                <c:pt idx="2">
                  <c:v>2159.8817198778879</c:v>
                </c:pt>
                <c:pt idx="3">
                  <c:v>2319.6478949272318</c:v>
                </c:pt>
                <c:pt idx="4">
                  <c:v>2479.8649893017719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53920"/>
        <c:axId val="187883520"/>
      </c:scatterChart>
      <c:valAx>
        <c:axId val="187353920"/>
        <c:scaling>
          <c:orientation val="minMax"/>
          <c:max val="180"/>
          <c:min val="10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W/S (lb/ft^2)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87883520"/>
        <c:crosses val="autoZero"/>
        <c:crossBetween val="midCat"/>
        <c:majorUnit val="10"/>
        <c:minorUnit val="2"/>
      </c:valAx>
      <c:valAx>
        <c:axId val="187883520"/>
        <c:scaling>
          <c:orientation val="minMax"/>
          <c:max val="2800"/>
          <c:min val="16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 baseline="0"/>
                  <a:t>Landing Field Length</a:t>
                </a:r>
                <a:endParaRPr lang="it-IT"/>
              </a:p>
            </c:rich>
          </c:tx>
          <c:layout/>
          <c:overlay val="0"/>
        </c:title>
        <c:numFmt formatCode="0.00\ \m" sourceLinked="1"/>
        <c:majorTickMark val="out"/>
        <c:minorTickMark val="none"/>
        <c:tickLblPos val="nextTo"/>
        <c:crossAx val="187353920"/>
        <c:crosses val="autoZero"/>
        <c:crossBetween val="midCat"/>
        <c:majorUnit val="100"/>
        <c:minorUnit val="50"/>
      </c:valAx>
    </c:plotArea>
    <c:legend>
      <c:legendPos val="b"/>
      <c:layout/>
      <c:overlay val="0"/>
      <c:txPr>
        <a:bodyPr/>
        <a:lstStyle/>
        <a:p>
          <a:pPr>
            <a:defRPr sz="1200" b="1"/>
          </a:pPr>
          <a:endParaRPr lang="it-I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188323</xdr:colOff>
      <xdr:row>1</xdr:row>
      <xdr:rowOff>54973</xdr:rowOff>
    </xdr:from>
    <xdr:to>
      <xdr:col>10</xdr:col>
      <xdr:colOff>287383</xdr:colOff>
      <xdr:row>27</xdr:row>
      <xdr:rowOff>95794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359228</xdr:colOff>
      <xdr:row>1</xdr:row>
      <xdr:rowOff>65315</xdr:rowOff>
    </xdr:from>
    <xdr:to>
      <xdr:col>20</xdr:col>
      <xdr:colOff>458288</xdr:colOff>
      <xdr:row>27</xdr:row>
      <xdr:rowOff>106136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154379</xdr:colOff>
      <xdr:row>27</xdr:row>
      <xdr:rowOff>157347</xdr:rowOff>
    </xdr:from>
    <xdr:to>
      <xdr:col>16</xdr:col>
      <xdr:colOff>253439</xdr:colOff>
      <xdr:row>54</xdr:row>
      <xdr:rowOff>160564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461159</xdr:colOff>
      <xdr:row>27</xdr:row>
      <xdr:rowOff>138545</xdr:rowOff>
    </xdr:from>
    <xdr:to>
      <xdr:col>26</xdr:col>
      <xdr:colOff>560219</xdr:colOff>
      <xdr:row>54</xdr:row>
      <xdr:rowOff>157595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544286</xdr:colOff>
      <xdr:row>1</xdr:row>
      <xdr:rowOff>65314</xdr:rowOff>
    </xdr:from>
    <xdr:to>
      <xdr:col>31</xdr:col>
      <xdr:colOff>33746</xdr:colOff>
      <xdr:row>27</xdr:row>
      <xdr:rowOff>106135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166253</xdr:colOff>
      <xdr:row>9</xdr:row>
      <xdr:rowOff>41564</xdr:rowOff>
    </xdr:from>
    <xdr:to>
      <xdr:col>43</xdr:col>
      <xdr:colOff>265313</xdr:colOff>
      <xdr:row>36</xdr:row>
      <xdr:rowOff>60614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70" zoomScaleNormal="70" workbookViewId="0">
      <selection activeCell="I28" sqref="I28"/>
    </sheetView>
  </sheetViews>
  <sheetFormatPr defaultRowHeight="14.4" x14ac:dyDescent="0.3"/>
  <cols>
    <col min="1" max="1" width="13.109375" customWidth="1"/>
    <col min="2" max="2" width="20.21875" customWidth="1"/>
    <col min="3" max="3" width="19.77734375" bestFit="1" customWidth="1"/>
    <col min="4" max="4" width="15.5546875" bestFit="1" customWidth="1"/>
    <col min="5" max="5" width="13.5546875" customWidth="1"/>
    <col min="6" max="6" width="24.6640625" bestFit="1" customWidth="1"/>
    <col min="7" max="7" width="19.77734375" bestFit="1" customWidth="1"/>
    <col min="8" max="8" width="15.21875" customWidth="1"/>
    <col min="9" max="9" width="21.88671875" bestFit="1" customWidth="1"/>
    <col min="10" max="10" width="30" bestFit="1" customWidth="1"/>
    <col min="11" max="11" width="9.44140625" bestFit="1" customWidth="1"/>
    <col min="12" max="12" width="9.33203125" bestFit="1" customWidth="1"/>
    <col min="13" max="13" width="16.33203125" bestFit="1" customWidth="1"/>
    <col min="14" max="15" width="24.6640625" bestFit="1" customWidth="1"/>
    <col min="16" max="16" width="15.6640625" bestFit="1" customWidth="1"/>
  </cols>
  <sheetData>
    <row r="1" spans="1:4" ht="14.4" customHeight="1" x14ac:dyDescent="0.3">
      <c r="A1" s="1" t="s">
        <v>0</v>
      </c>
      <c r="B1" s="2"/>
      <c r="C1" s="2"/>
      <c r="D1" s="3"/>
    </row>
    <row r="2" spans="1:4" ht="15" customHeight="1" thickBot="1" x14ac:dyDescent="0.35">
      <c r="A2" s="4"/>
      <c r="B2" s="5"/>
      <c r="C2" s="5"/>
      <c r="D2" s="6"/>
    </row>
    <row r="3" spans="1:4" ht="15" customHeight="1" thickBot="1" x14ac:dyDescent="0.35">
      <c r="A3" s="11" t="s">
        <v>6</v>
      </c>
      <c r="B3" s="12"/>
      <c r="C3" s="12"/>
      <c r="D3" s="13"/>
    </row>
    <row r="4" spans="1:4" x14ac:dyDescent="0.3">
      <c r="A4" s="37" t="s">
        <v>1</v>
      </c>
      <c r="B4" s="38">
        <v>354991.50599999999</v>
      </c>
      <c r="C4" s="38"/>
      <c r="D4" s="39"/>
    </row>
    <row r="5" spans="1:4" x14ac:dyDescent="0.3">
      <c r="A5" s="8" t="s">
        <v>2</v>
      </c>
      <c r="B5" s="40">
        <v>511</v>
      </c>
      <c r="C5" s="40"/>
      <c r="D5" s="41"/>
    </row>
    <row r="6" spans="1:4" x14ac:dyDescent="0.3">
      <c r="A6" s="8" t="s">
        <v>19</v>
      </c>
      <c r="B6" s="42">
        <v>204000</v>
      </c>
      <c r="C6" s="42"/>
      <c r="D6" s="43"/>
    </row>
    <row r="7" spans="1:4" x14ac:dyDescent="0.3">
      <c r="A7" s="44" t="s">
        <v>13</v>
      </c>
      <c r="B7" s="45">
        <v>1</v>
      </c>
      <c r="C7" s="46"/>
      <c r="D7" s="47"/>
    </row>
    <row r="8" spans="1:4" ht="15" thickBot="1" x14ac:dyDescent="0.35">
      <c r="A8" s="9" t="s">
        <v>12</v>
      </c>
      <c r="B8" s="48">
        <v>1.82</v>
      </c>
      <c r="C8" s="49"/>
      <c r="D8" s="50"/>
    </row>
    <row r="9" spans="1:4" x14ac:dyDescent="0.3">
      <c r="A9" s="35" t="s">
        <v>4</v>
      </c>
      <c r="B9" s="16">
        <f>B4/B5</f>
        <v>694.69962035225046</v>
      </c>
      <c r="C9" s="14">
        <f>B9*0.204817</f>
        <v>142.28629214168689</v>
      </c>
      <c r="D9" s="36"/>
    </row>
    <row r="10" spans="1:4" ht="15" thickBot="1" x14ac:dyDescent="0.35">
      <c r="A10" s="10" t="s">
        <v>5</v>
      </c>
      <c r="B10" s="21">
        <f>(B6)/B4</f>
        <v>0.57466163711533991</v>
      </c>
      <c r="C10" s="17">
        <f>B6/(B4*2.20462)</f>
        <v>0.26066244392019483</v>
      </c>
      <c r="D10" s="15"/>
    </row>
    <row r="11" spans="1:4" ht="16.2" thickBot="1" x14ac:dyDescent="0.35">
      <c r="A11" s="11" t="s">
        <v>7</v>
      </c>
      <c r="B11" s="12"/>
      <c r="C11" s="12"/>
      <c r="D11" s="13"/>
    </row>
    <row r="12" spans="1:4" ht="15" thickBot="1" x14ac:dyDescent="0.35">
      <c r="A12" s="33" t="s">
        <v>4</v>
      </c>
      <c r="B12" s="34" t="s">
        <v>2</v>
      </c>
      <c r="C12" s="33" t="s">
        <v>5</v>
      </c>
      <c r="D12" s="34" t="s">
        <v>3</v>
      </c>
    </row>
    <row r="13" spans="1:4" ht="15" thickBot="1" x14ac:dyDescent="0.35">
      <c r="A13" s="19">
        <f>C$9-0.2*C$9</f>
        <v>113.8290337133495</v>
      </c>
      <c r="B13" s="18">
        <f>B$4/(A13/0.204817)</f>
        <v>638.75000000000011</v>
      </c>
      <c r="C13" s="20">
        <f>C$10-0.2*C$10</f>
        <v>0.20852995513615585</v>
      </c>
      <c r="D13" s="22">
        <f>C13*(B$4*2.20462)</f>
        <v>163199.99999999997</v>
      </c>
    </row>
    <row r="14" spans="1:4" ht="15" thickBot="1" x14ac:dyDescent="0.35">
      <c r="A14" s="19">
        <f>C$9-0.1*C$9</f>
        <v>128.05766292751821</v>
      </c>
      <c r="B14" s="18">
        <f t="shared" ref="B14:B17" si="0">B$4/(A14/0.204817)</f>
        <v>567.77777777777771</v>
      </c>
      <c r="C14" s="20">
        <f>C$10-0.1*C$10</f>
        <v>0.23459619952817534</v>
      </c>
      <c r="D14" s="22">
        <f t="shared" ref="D14:D17" si="1">C14*(B$4*2.20462)</f>
        <v>183599.99999999997</v>
      </c>
    </row>
    <row r="15" spans="1:4" ht="15" thickBot="1" x14ac:dyDescent="0.35">
      <c r="A15" s="19">
        <f>C$9</f>
        <v>142.28629214168689</v>
      </c>
      <c r="B15" s="18">
        <f t="shared" si="0"/>
        <v>511</v>
      </c>
      <c r="C15" s="20">
        <f>C$10-0*C$10</f>
        <v>0.26066244392019483</v>
      </c>
      <c r="D15" s="22">
        <f t="shared" si="1"/>
        <v>204000</v>
      </c>
    </row>
    <row r="16" spans="1:4" ht="15" thickBot="1" x14ac:dyDescent="0.35">
      <c r="A16" s="19">
        <f>C$9+0.1*C$9</f>
        <v>156.51492135585556</v>
      </c>
      <c r="B16" s="18">
        <f t="shared" si="0"/>
        <v>464.54545454545462</v>
      </c>
      <c r="C16" s="20">
        <f>C$10+0.1*C$10</f>
        <v>0.28672868831221432</v>
      </c>
      <c r="D16" s="22">
        <f t="shared" si="1"/>
        <v>224400</v>
      </c>
    </row>
    <row r="17" spans="1:16" ht="15" thickBot="1" x14ac:dyDescent="0.35">
      <c r="A17" s="19">
        <f>C$9+0.2*C$9</f>
        <v>170.74355057002427</v>
      </c>
      <c r="B17" s="18">
        <f t="shared" si="0"/>
        <v>425.83333333333331</v>
      </c>
      <c r="C17" s="20">
        <f>C$10+0.2*C$10</f>
        <v>0.31279493270423381</v>
      </c>
      <c r="D17" s="22">
        <f t="shared" si="1"/>
        <v>244800</v>
      </c>
    </row>
    <row r="19" spans="1:16" ht="15" thickBot="1" x14ac:dyDescent="0.35"/>
    <row r="20" spans="1:16" ht="21.6" thickBot="1" x14ac:dyDescent="0.35">
      <c r="A20" s="26" t="s">
        <v>8</v>
      </c>
      <c r="B20" s="27"/>
      <c r="C20" s="27"/>
      <c r="D20" s="27"/>
      <c r="E20" s="27"/>
      <c r="F20" s="27"/>
      <c r="G20" s="28"/>
      <c r="P20" s="107"/>
    </row>
    <row r="21" spans="1:16" ht="15" thickBot="1" x14ac:dyDescent="0.35">
      <c r="A21" s="7" t="s">
        <v>4</v>
      </c>
      <c r="B21" s="7" t="s">
        <v>5</v>
      </c>
      <c r="C21" s="33" t="s">
        <v>9</v>
      </c>
      <c r="D21" s="33" t="s">
        <v>10</v>
      </c>
      <c r="E21" s="51" t="s">
        <v>11</v>
      </c>
      <c r="F21" s="51" t="s">
        <v>14</v>
      </c>
      <c r="G21" s="7" t="s">
        <v>15</v>
      </c>
    </row>
    <row r="22" spans="1:16" x14ac:dyDescent="0.3">
      <c r="A22" s="76">
        <f>$C$9-0.2*$C$9</f>
        <v>113.8290337133495</v>
      </c>
      <c r="B22" s="87">
        <f>$C$13</f>
        <v>0.20852995513615585</v>
      </c>
      <c r="C22" s="81">
        <v>2906.8508916739602</v>
      </c>
      <c r="D22" s="90">
        <f>$C22*1.15</f>
        <v>3342.8785254250538</v>
      </c>
      <c r="E22" s="91">
        <f>$A22/($B$7*$B$8*$B22)</f>
        <v>299.92537559598287</v>
      </c>
      <c r="F22" s="90">
        <f>$E22*37.5*0.3048</f>
        <v>3428.1470430620843</v>
      </c>
      <c r="G22" s="60">
        <f>ABS(($F22-$D22)/$F22)*100</f>
        <v>2.487306307633383</v>
      </c>
    </row>
    <row r="23" spans="1:16" x14ac:dyDescent="0.3">
      <c r="A23" s="77">
        <f>$C$9-0.1*$C$9</f>
        <v>128.05766292751821</v>
      </c>
      <c r="B23" s="88">
        <f t="shared" ref="B23:B26" si="2">$C$13</f>
        <v>0.20852995513615585</v>
      </c>
      <c r="C23" s="70">
        <v>3296.8304484557998</v>
      </c>
      <c r="D23" s="53">
        <f t="shared" ref="D23:D46" si="3">$C23*1.15</f>
        <v>3791.3550157241693</v>
      </c>
      <c r="E23" s="92">
        <f t="shared" ref="E23:E46" si="4">$A23/($B$7*$B$8*$B23)</f>
        <v>337.41604754548075</v>
      </c>
      <c r="F23" s="53">
        <f t="shared" ref="F23:F46" si="5">$E23*37.5*0.3048</f>
        <v>3856.6654234448451</v>
      </c>
      <c r="G23" s="61">
        <f t="shared" ref="G23:G46" si="6">ABS(($F23-$D23)/$F23)*100</f>
        <v>1.6934424055467936</v>
      </c>
    </row>
    <row r="24" spans="1:16" x14ac:dyDescent="0.3">
      <c r="A24" s="77">
        <f>$C$9</f>
        <v>142.28629214168689</v>
      </c>
      <c r="B24" s="88">
        <f t="shared" si="2"/>
        <v>0.20852995513615585</v>
      </c>
      <c r="C24" s="70">
        <v>3698.6720889226999</v>
      </c>
      <c r="D24" s="53">
        <f t="shared" si="3"/>
        <v>4253.4729022611045</v>
      </c>
      <c r="E24" s="92">
        <f t="shared" si="4"/>
        <v>374.90671949497863</v>
      </c>
      <c r="F24" s="53">
        <f t="shared" si="5"/>
        <v>4285.1838038276064</v>
      </c>
      <c r="G24" s="61">
        <f t="shared" si="6"/>
        <v>0.74001263465471689</v>
      </c>
      <c r="O24" s="29"/>
      <c r="P24" s="29"/>
    </row>
    <row r="25" spans="1:16" x14ac:dyDescent="0.3">
      <c r="A25" s="77">
        <f>$C$9+0.1*$C$9</f>
        <v>156.51492135585556</v>
      </c>
      <c r="B25" s="88">
        <f t="shared" si="2"/>
        <v>0.20852995513615585</v>
      </c>
      <c r="C25" s="70">
        <v>4090.93806866881</v>
      </c>
      <c r="D25" s="53">
        <f t="shared" si="3"/>
        <v>4704.5787789691312</v>
      </c>
      <c r="E25" s="92">
        <f t="shared" si="4"/>
        <v>412.39739144447645</v>
      </c>
      <c r="F25" s="53">
        <f t="shared" si="5"/>
        <v>4713.7021842103668</v>
      </c>
      <c r="G25" s="61">
        <f t="shared" si="6"/>
        <v>0.19355073538155446</v>
      </c>
    </row>
    <row r="26" spans="1:16" ht="15" thickBot="1" x14ac:dyDescent="0.35">
      <c r="A26" s="78">
        <f>$C$9+0.2*$C$9</f>
        <v>170.74355057002427</v>
      </c>
      <c r="B26" s="89">
        <f t="shared" si="2"/>
        <v>0.20852995513615585</v>
      </c>
      <c r="C26" s="71">
        <v>4496.1994265453104</v>
      </c>
      <c r="D26" s="54">
        <f t="shared" si="3"/>
        <v>5170.6293405271063</v>
      </c>
      <c r="E26" s="93">
        <f t="shared" si="4"/>
        <v>449.88806339397433</v>
      </c>
      <c r="F26" s="54">
        <f t="shared" si="5"/>
        <v>5142.2205645931272</v>
      </c>
      <c r="G26" s="62">
        <f t="shared" si="6"/>
        <v>0.55246124854286371</v>
      </c>
    </row>
    <row r="27" spans="1:16" x14ac:dyDescent="0.3">
      <c r="A27" s="76">
        <f>$C$9-0.2*$C$9</f>
        <v>113.8290337133495</v>
      </c>
      <c r="B27" s="87">
        <f>$C$14</f>
        <v>0.23459619952817534</v>
      </c>
      <c r="C27" s="81">
        <v>2540.1292642665499</v>
      </c>
      <c r="D27" s="90">
        <f t="shared" si="3"/>
        <v>2921.1486539065322</v>
      </c>
      <c r="E27" s="92">
        <f t="shared" si="4"/>
        <v>266.6003338630959</v>
      </c>
      <c r="F27" s="53">
        <f t="shared" si="5"/>
        <v>3047.2418160551861</v>
      </c>
      <c r="G27" s="61">
        <f t="shared" si="6"/>
        <v>4.1379440740245563</v>
      </c>
    </row>
    <row r="28" spans="1:16" x14ac:dyDescent="0.3">
      <c r="A28" s="77">
        <f>$C$9-0.1*$C$9</f>
        <v>128.05766292751821</v>
      </c>
      <c r="B28" s="88">
        <f t="shared" ref="B28:B31" si="7">$C$14</f>
        <v>0.23459619952817534</v>
      </c>
      <c r="C28" s="70">
        <v>2877.22240761065</v>
      </c>
      <c r="D28" s="53">
        <f t="shared" si="3"/>
        <v>3308.8057687522473</v>
      </c>
      <c r="E28" s="92">
        <f t="shared" si="4"/>
        <v>299.92537559598293</v>
      </c>
      <c r="F28" s="53">
        <f t="shared" si="5"/>
        <v>3428.1470430620848</v>
      </c>
      <c r="G28" s="61">
        <f t="shared" si="6"/>
        <v>3.4812180694337891</v>
      </c>
    </row>
    <row r="29" spans="1:16" ht="15" thickBot="1" x14ac:dyDescent="0.35">
      <c r="A29" s="77">
        <f>$C$9</f>
        <v>142.28629214168689</v>
      </c>
      <c r="B29" s="88">
        <f t="shared" si="7"/>
        <v>0.23459619952817534</v>
      </c>
      <c r="C29" s="70">
        <v>3224.4173043425999</v>
      </c>
      <c r="D29" s="53">
        <f t="shared" si="3"/>
        <v>3708.0798999939898</v>
      </c>
      <c r="E29" s="92">
        <f t="shared" si="4"/>
        <v>333.25041732886984</v>
      </c>
      <c r="F29" s="53">
        <f t="shared" si="5"/>
        <v>3809.0522700689826</v>
      </c>
      <c r="G29" s="61">
        <f t="shared" si="6"/>
        <v>2.650852834664938</v>
      </c>
    </row>
    <row r="30" spans="1:16" ht="21.6" thickBot="1" x14ac:dyDescent="0.35">
      <c r="A30" s="77">
        <f>$C$9+0.1*$C$9</f>
        <v>156.51492135585556</v>
      </c>
      <c r="B30" s="88">
        <f>$C$14</f>
        <v>0.23459619952817534</v>
      </c>
      <c r="C30" s="70">
        <v>3569.3351952820299</v>
      </c>
      <c r="D30" s="53">
        <f t="shared" si="3"/>
        <v>4104.7354745743341</v>
      </c>
      <c r="E30" s="92">
        <f t="shared" si="4"/>
        <v>366.57545906175682</v>
      </c>
      <c r="F30" s="53">
        <f t="shared" si="5"/>
        <v>4189.9574970758804</v>
      </c>
      <c r="G30" s="61">
        <f t="shared" si="6"/>
        <v>2.0339591167934672</v>
      </c>
      <c r="H30" s="23" t="s">
        <v>16</v>
      </c>
      <c r="I30" s="24"/>
      <c r="J30" s="24"/>
      <c r="K30" s="24"/>
      <c r="L30" s="24"/>
      <c r="M30" s="24"/>
      <c r="N30" s="24"/>
      <c r="O30" s="25"/>
    </row>
    <row r="31" spans="1:16" ht="15" thickBot="1" x14ac:dyDescent="0.35">
      <c r="A31" s="78">
        <f>$C$9+0.2*$C$9</f>
        <v>170.74355057002427</v>
      </c>
      <c r="B31" s="89">
        <f t="shared" si="7"/>
        <v>0.23459619952817534</v>
      </c>
      <c r="C31" s="71">
        <v>3921.2221913246899</v>
      </c>
      <c r="D31" s="54">
        <f t="shared" si="3"/>
        <v>4509.4055200233934</v>
      </c>
      <c r="E31" s="93">
        <f t="shared" si="4"/>
        <v>399.90050079464385</v>
      </c>
      <c r="F31" s="54">
        <f t="shared" si="5"/>
        <v>4570.8627240827791</v>
      </c>
      <c r="G31" s="62">
        <f t="shared" si="6"/>
        <v>1.3445427651017055</v>
      </c>
      <c r="H31" s="7" t="s">
        <v>4</v>
      </c>
      <c r="I31" s="33" t="s">
        <v>17</v>
      </c>
      <c r="J31" s="7" t="s">
        <v>18</v>
      </c>
      <c r="K31" s="51" t="s">
        <v>20</v>
      </c>
      <c r="L31" s="33" t="s">
        <v>21</v>
      </c>
      <c r="M31" s="7" t="s">
        <v>22</v>
      </c>
      <c r="N31" s="52" t="s">
        <v>14</v>
      </c>
      <c r="O31" s="33" t="s">
        <v>15</v>
      </c>
    </row>
    <row r="32" spans="1:16" x14ac:dyDescent="0.3">
      <c r="A32" s="76">
        <f>$C$9-0.2*$C$9</f>
        <v>113.8290337133495</v>
      </c>
      <c r="B32" s="87">
        <f>$C$15</f>
        <v>0.26066244392019483</v>
      </c>
      <c r="C32" s="81">
        <v>2265.4641617858301</v>
      </c>
      <c r="D32" s="90">
        <f t="shared" si="3"/>
        <v>2605.2837860537043</v>
      </c>
      <c r="E32" s="92">
        <f t="shared" si="4"/>
        <v>239.94030047678629</v>
      </c>
      <c r="F32" s="53">
        <f t="shared" si="5"/>
        <v>2742.5176344496676</v>
      </c>
      <c r="G32" s="61">
        <f t="shared" si="6"/>
        <v>5.0039367722607793</v>
      </c>
      <c r="H32" s="57">
        <f>$C$9-0.2*$C$9</f>
        <v>113.8290337133495</v>
      </c>
      <c r="I32" s="83">
        <v>1590.2586967336099</v>
      </c>
      <c r="J32" s="72">
        <f t="shared" ref="J32:J36" si="8">I32*1.15</f>
        <v>1828.7975012436511</v>
      </c>
      <c r="K32" s="99">
        <v>70.895103528294896</v>
      </c>
      <c r="L32" s="102">
        <f t="shared" ref="L32:L36" si="9">K32*1.94384</f>
        <v>137.80873804244075</v>
      </c>
      <c r="M32" s="125">
        <f>K32^2</f>
        <v>5026.1157042876512</v>
      </c>
      <c r="N32" s="55">
        <f>0.3*(L32^2)*0.3048</f>
        <v>1736.5597428009291</v>
      </c>
      <c r="O32" s="97">
        <f>ABS((N32-J32)/N32)*100</f>
        <v>5.3115223259725015</v>
      </c>
    </row>
    <row r="33" spans="1:16" ht="15" thickBot="1" x14ac:dyDescent="0.35">
      <c r="A33" s="79">
        <f>$C$9-0.1*$C$9</f>
        <v>128.05766292751821</v>
      </c>
      <c r="B33" s="64">
        <f t="shared" ref="B33:B36" si="10">$C$15</f>
        <v>0.26066244392019483</v>
      </c>
      <c r="C33" s="70">
        <v>2562.26620630773</v>
      </c>
      <c r="D33" s="53">
        <f t="shared" si="3"/>
        <v>2946.6061372538893</v>
      </c>
      <c r="E33" s="92">
        <f t="shared" si="4"/>
        <v>269.93283803638462</v>
      </c>
      <c r="F33" s="67">
        <f t="shared" si="5"/>
        <v>3085.3323387558767</v>
      </c>
      <c r="G33" s="94">
        <f t="shared" si="6"/>
        <v>4.4963130797743185</v>
      </c>
      <c r="H33" s="63">
        <f>$C$9-0.1*$C$9</f>
        <v>128.05766292751821</v>
      </c>
      <c r="I33" s="108">
        <v>1735.09425706817</v>
      </c>
      <c r="J33" s="73">
        <f t="shared" si="8"/>
        <v>1995.3583956283953</v>
      </c>
      <c r="K33" s="100">
        <v>75.195612686670003</v>
      </c>
      <c r="L33" s="102">
        <f t="shared" si="9"/>
        <v>146.16823976485662</v>
      </c>
      <c r="M33" s="126">
        <f t="shared" ref="M33:M36" si="11">K33^2</f>
        <v>5654.3801673236867</v>
      </c>
      <c r="N33" s="95">
        <f>0.3*(L33^2)*0.3048</f>
        <v>1953.6297106510726</v>
      </c>
      <c r="O33" s="97">
        <f>ABS((N33-J33)/N33)*100</f>
        <v>2.135956714305705</v>
      </c>
    </row>
    <row r="34" spans="1:16" ht="15.6" thickTop="1" thickBot="1" x14ac:dyDescent="0.35">
      <c r="A34" s="80">
        <f>$C$9</f>
        <v>142.28629214168689</v>
      </c>
      <c r="B34" s="64">
        <f t="shared" si="10"/>
        <v>0.26066244392019483</v>
      </c>
      <c r="C34" s="82">
        <v>2865.9461767251501</v>
      </c>
      <c r="D34" s="65">
        <f t="shared" si="3"/>
        <v>3295.8381032339221</v>
      </c>
      <c r="E34" s="75">
        <f t="shared" si="4"/>
        <v>299.92537559598287</v>
      </c>
      <c r="F34" s="53">
        <f t="shared" si="5"/>
        <v>3428.1470430620843</v>
      </c>
      <c r="G34" s="96">
        <f t="shared" si="6"/>
        <v>3.8594884690238209</v>
      </c>
      <c r="H34" s="130">
        <f>$C$9</f>
        <v>142.28629214168689</v>
      </c>
      <c r="I34" s="109">
        <v>1878.15801728512</v>
      </c>
      <c r="J34" s="69">
        <f t="shared" si="8"/>
        <v>2159.8817198778879</v>
      </c>
      <c r="K34" s="106">
        <v>79.278645239913502</v>
      </c>
      <c r="L34" s="104">
        <f t="shared" si="9"/>
        <v>154.10500176315347</v>
      </c>
      <c r="M34" s="129">
        <f t="shared" si="11"/>
        <v>6285.1035910760593</v>
      </c>
      <c r="N34" s="95">
        <f>0.3*(L34^2)*0.3048</f>
        <v>2171.5492674164652</v>
      </c>
      <c r="O34" s="105">
        <f>ABS((N34-J34)/N34)*100</f>
        <v>0.53729140359124439</v>
      </c>
      <c r="P34" s="68"/>
    </row>
    <row r="35" spans="1:16" ht="15" thickTop="1" x14ac:dyDescent="0.3">
      <c r="A35" s="77">
        <f>$C$9+0.1*$C$9</f>
        <v>156.51492135585556</v>
      </c>
      <c r="B35" s="88">
        <f t="shared" si="10"/>
        <v>0.26066244392019483</v>
      </c>
      <c r="C35" s="82">
        <v>3167.7552341321498</v>
      </c>
      <c r="D35" s="65">
        <f t="shared" si="3"/>
        <v>3642.9185192519722</v>
      </c>
      <c r="E35" s="75">
        <f t="shared" si="4"/>
        <v>329.91791315558112</v>
      </c>
      <c r="F35" s="65">
        <f t="shared" si="5"/>
        <v>3770.9617473682924</v>
      </c>
      <c r="G35" s="66">
        <f t="shared" si="6"/>
        <v>3.395505886679441</v>
      </c>
      <c r="H35" s="58">
        <f>$C$9+0.1*$C$9</f>
        <v>156.51492135585556</v>
      </c>
      <c r="I35" s="84">
        <v>2017.08512602368</v>
      </c>
      <c r="J35" s="73">
        <f t="shared" si="8"/>
        <v>2319.6478949272318</v>
      </c>
      <c r="K35" s="100">
        <v>83.107495295426006</v>
      </c>
      <c r="L35" s="104">
        <f t="shared" si="9"/>
        <v>161.54767365506089</v>
      </c>
      <c r="M35" s="128">
        <f t="shared" si="11"/>
        <v>6906.8557742792555</v>
      </c>
      <c r="N35" s="55">
        <f>0.3*(L35^2)*0.3048</f>
        <v>2386.3691949458262</v>
      </c>
      <c r="O35" s="97">
        <f>ABS((N35-J35)/N35)*100</f>
        <v>2.7959336786573372</v>
      </c>
    </row>
    <row r="36" spans="1:16" ht="15" thickBot="1" x14ac:dyDescent="0.35">
      <c r="A36" s="78">
        <f>$C$9+0.2*$C$9</f>
        <v>170.74355057002427</v>
      </c>
      <c r="B36" s="89">
        <f t="shared" si="10"/>
        <v>0.26066244392019483</v>
      </c>
      <c r="C36" s="71">
        <v>3480.9623134050998</v>
      </c>
      <c r="D36" s="54">
        <f t="shared" si="3"/>
        <v>4003.1066604158646</v>
      </c>
      <c r="E36" s="93">
        <f t="shared" si="4"/>
        <v>359.91045071517948</v>
      </c>
      <c r="F36" s="54">
        <f t="shared" si="5"/>
        <v>4113.7764516745019</v>
      </c>
      <c r="G36" s="62">
        <f t="shared" si="6"/>
        <v>2.6902237532520639</v>
      </c>
      <c r="H36" s="59">
        <f>$C$9+0.2*$C$9</f>
        <v>170.74355057002427</v>
      </c>
      <c r="I36" s="86">
        <v>2156.4043385232799</v>
      </c>
      <c r="J36" s="74">
        <f t="shared" si="8"/>
        <v>2479.8649893017719</v>
      </c>
      <c r="K36" s="101">
        <v>86.828414453055004</v>
      </c>
      <c r="L36" s="103">
        <f t="shared" si="9"/>
        <v>168.78054515042643</v>
      </c>
      <c r="M36" s="127">
        <f t="shared" si="11"/>
        <v>7539.1735564314913</v>
      </c>
      <c r="N36" s="56">
        <f>0.3*(L36^2)*0.3048</f>
        <v>2604.8396142013985</v>
      </c>
      <c r="O36" s="98">
        <f>ABS((N36-J36)/N36)*100</f>
        <v>4.797785791427386</v>
      </c>
    </row>
    <row r="37" spans="1:16" x14ac:dyDescent="0.3">
      <c r="A37" s="76">
        <f>$C$9-0.2*$C$9</f>
        <v>113.8290337133495</v>
      </c>
      <c r="B37" s="87">
        <f>$C$16</f>
        <v>0.28672868831221432</v>
      </c>
      <c r="C37" s="83">
        <v>2054.7152348995401</v>
      </c>
      <c r="D37" s="90">
        <f t="shared" si="3"/>
        <v>2362.9225201344707</v>
      </c>
      <c r="E37" s="92">
        <f t="shared" si="4"/>
        <v>218.12754588798754</v>
      </c>
      <c r="F37" s="53">
        <f t="shared" si="5"/>
        <v>2493.1978494996974</v>
      </c>
      <c r="G37" s="61">
        <f t="shared" si="6"/>
        <v>5.2252302957572629</v>
      </c>
    </row>
    <row r="38" spans="1:16" x14ac:dyDescent="0.3">
      <c r="A38" s="77">
        <f>$C$9-0.1*$C$9</f>
        <v>128.05766292751821</v>
      </c>
      <c r="B38" s="88">
        <f t="shared" ref="B38:B41" si="12">$C$16</f>
        <v>0.28672868831221432</v>
      </c>
      <c r="C38" s="84">
        <v>2317.0376144592201</v>
      </c>
      <c r="D38" s="53">
        <f t="shared" si="3"/>
        <v>2664.5932566281031</v>
      </c>
      <c r="E38" s="92">
        <f t="shared" si="4"/>
        <v>245.393489123986</v>
      </c>
      <c r="F38" s="53">
        <f t="shared" si="5"/>
        <v>2804.8475806871602</v>
      </c>
      <c r="G38" s="61">
        <f t="shared" si="6"/>
        <v>5.0004258707240057</v>
      </c>
    </row>
    <row r="39" spans="1:16" x14ac:dyDescent="0.3">
      <c r="A39" s="77">
        <f>$C$9</f>
        <v>142.28629214168689</v>
      </c>
      <c r="B39" s="88">
        <f t="shared" si="12"/>
        <v>0.28672868831221432</v>
      </c>
      <c r="C39" s="84">
        <v>2585.0941665164301</v>
      </c>
      <c r="D39" s="53">
        <f t="shared" si="3"/>
        <v>2972.8582914938943</v>
      </c>
      <c r="E39" s="92">
        <f t="shared" si="4"/>
        <v>272.65943235998441</v>
      </c>
      <c r="F39" s="53">
        <f t="shared" si="5"/>
        <v>3116.497311874622</v>
      </c>
      <c r="G39" s="61">
        <f t="shared" si="6"/>
        <v>4.6089890670987499</v>
      </c>
    </row>
    <row r="40" spans="1:16" x14ac:dyDescent="0.3">
      <c r="A40" s="77">
        <f>$C$9+0.1*$C$9</f>
        <v>156.51492135585556</v>
      </c>
      <c r="B40" s="88">
        <f t="shared" si="12"/>
        <v>0.28672868831221432</v>
      </c>
      <c r="C40" s="85">
        <v>2854.97</v>
      </c>
      <c r="D40" s="53">
        <f t="shared" si="3"/>
        <v>3283.2154999999993</v>
      </c>
      <c r="E40" s="92">
        <f t="shared" si="4"/>
        <v>299.92537559598281</v>
      </c>
      <c r="F40" s="53">
        <f t="shared" si="5"/>
        <v>3428.1470430620839</v>
      </c>
      <c r="G40" s="61">
        <f t="shared" si="6"/>
        <v>4.2276933060791064</v>
      </c>
    </row>
    <row r="41" spans="1:16" ht="15" thickBot="1" x14ac:dyDescent="0.35">
      <c r="A41" s="78">
        <f>$C$9+0.2*$C$9</f>
        <v>170.74355057002427</v>
      </c>
      <c r="B41" s="89">
        <f t="shared" si="12"/>
        <v>0.28672868831221432</v>
      </c>
      <c r="C41" s="86">
        <v>3132.2726236992398</v>
      </c>
      <c r="D41" s="54">
        <f t="shared" si="3"/>
        <v>3602.1135172541253</v>
      </c>
      <c r="E41" s="93">
        <f t="shared" si="4"/>
        <v>327.19131883198133</v>
      </c>
      <c r="F41" s="54">
        <f t="shared" si="5"/>
        <v>3739.7967742495466</v>
      </c>
      <c r="G41" s="62">
        <f t="shared" si="6"/>
        <v>3.6815705586849634</v>
      </c>
    </row>
    <row r="42" spans="1:16" x14ac:dyDescent="0.3">
      <c r="A42" s="76">
        <f>$C$9-0.2*$C$9</f>
        <v>113.8290337133495</v>
      </c>
      <c r="B42" s="87">
        <f>$C$17</f>
        <v>0.31279493270423381</v>
      </c>
      <c r="C42" s="83">
        <v>1887.46562542774</v>
      </c>
      <c r="D42" s="90">
        <f t="shared" si="3"/>
        <v>2170.5854692419007</v>
      </c>
      <c r="E42" s="92">
        <f t="shared" si="4"/>
        <v>199.95025039732189</v>
      </c>
      <c r="F42" s="53">
        <f t="shared" si="5"/>
        <v>2285.4313620413895</v>
      </c>
      <c r="G42" s="61">
        <f t="shared" si="6"/>
        <v>5.0251298160582865</v>
      </c>
    </row>
    <row r="43" spans="1:16" x14ac:dyDescent="0.3">
      <c r="A43" s="77">
        <f>$C$9-0.1*$C$9</f>
        <v>128.05766292751821</v>
      </c>
      <c r="B43" s="88">
        <f t="shared" ref="B43:B46" si="13">$C$17</f>
        <v>0.31279493270423381</v>
      </c>
      <c r="C43" s="84">
        <v>2128.3528590154301</v>
      </c>
      <c r="D43" s="53">
        <f t="shared" si="3"/>
        <v>2447.6057878677443</v>
      </c>
      <c r="E43" s="92">
        <f t="shared" si="4"/>
        <v>224.94403169698717</v>
      </c>
      <c r="F43" s="53">
        <f t="shared" si="5"/>
        <v>2571.1102822965636</v>
      </c>
      <c r="G43" s="61">
        <f t="shared" si="6"/>
        <v>4.8035471398956391</v>
      </c>
    </row>
    <row r="44" spans="1:16" x14ac:dyDescent="0.3">
      <c r="A44" s="77">
        <f>$C$9</f>
        <v>142.28629214168689</v>
      </c>
      <c r="B44" s="88">
        <f t="shared" si="13"/>
        <v>0.31279493270423381</v>
      </c>
      <c r="C44" s="84">
        <v>2374.73397338327</v>
      </c>
      <c r="D44" s="53">
        <f t="shared" si="3"/>
        <v>2730.9440693907604</v>
      </c>
      <c r="E44" s="92">
        <f t="shared" si="4"/>
        <v>249.93781299665238</v>
      </c>
      <c r="F44" s="53">
        <f t="shared" si="5"/>
        <v>2856.7892025517372</v>
      </c>
      <c r="G44" s="61">
        <f t="shared" si="6"/>
        <v>4.4051249230629104</v>
      </c>
    </row>
    <row r="45" spans="1:16" x14ac:dyDescent="0.3">
      <c r="A45" s="77">
        <f>$C$9+0.1*$C$9</f>
        <v>156.51492135585556</v>
      </c>
      <c r="B45" s="88">
        <f t="shared" si="13"/>
        <v>0.31279493270423381</v>
      </c>
      <c r="C45" s="84">
        <v>2620.07262699276</v>
      </c>
      <c r="D45" s="53">
        <f t="shared" si="3"/>
        <v>3013.0835210416735</v>
      </c>
      <c r="E45" s="92">
        <f t="shared" si="4"/>
        <v>274.9315942963176</v>
      </c>
      <c r="F45" s="53">
        <f t="shared" si="5"/>
        <v>3142.4681228069103</v>
      </c>
      <c r="G45" s="61">
        <f t="shared" si="6"/>
        <v>4.1172924182176924</v>
      </c>
    </row>
    <row r="46" spans="1:16" ht="15" thickBot="1" x14ac:dyDescent="0.35">
      <c r="A46" s="78">
        <f>$C$9+0.2*$C$9</f>
        <v>170.74355057002427</v>
      </c>
      <c r="B46" s="89">
        <f t="shared" si="13"/>
        <v>0.31279493270423381</v>
      </c>
      <c r="C46" s="86">
        <v>2873.0529061401598</v>
      </c>
      <c r="D46" s="54">
        <f t="shared" si="3"/>
        <v>3304.0108420611837</v>
      </c>
      <c r="E46" s="93">
        <f t="shared" si="4"/>
        <v>299.92537559598287</v>
      </c>
      <c r="F46" s="54">
        <f t="shared" si="5"/>
        <v>3428.1470430620843</v>
      </c>
      <c r="G46" s="62">
        <f t="shared" si="6"/>
        <v>3.6210874108252926</v>
      </c>
    </row>
  </sheetData>
  <mergeCells count="12">
    <mergeCell ref="H30:O30"/>
    <mergeCell ref="B8:D8"/>
    <mergeCell ref="B7:D7"/>
    <mergeCell ref="A20:G20"/>
    <mergeCell ref="A11:D11"/>
    <mergeCell ref="A3:D3"/>
    <mergeCell ref="B4:D4"/>
    <mergeCell ref="B5:D5"/>
    <mergeCell ref="B6:D6"/>
    <mergeCell ref="C9:D9"/>
    <mergeCell ref="C10:D10"/>
    <mergeCell ref="A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opLeftCell="B1" zoomScale="55" zoomScaleNormal="55" workbookViewId="0">
      <selection activeCell="AN50" sqref="AN50"/>
    </sheetView>
  </sheetViews>
  <sheetFormatPr defaultRowHeight="14.4" x14ac:dyDescent="0.3"/>
  <sheetData>
    <row r="1" spans="1:45" x14ac:dyDescent="0.3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30"/>
    </row>
    <row r="2" spans="1:45" x14ac:dyDescent="0.3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1"/>
    </row>
    <row r="3" spans="1:45" x14ac:dyDescent="0.3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1"/>
    </row>
    <row r="4" spans="1:45" x14ac:dyDescent="0.3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1"/>
    </row>
    <row r="5" spans="1:45" x14ac:dyDescent="0.3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1"/>
    </row>
    <row r="6" spans="1:45" x14ac:dyDescent="0.3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1"/>
    </row>
    <row r="7" spans="1:45" ht="15" thickBot="1" x14ac:dyDescent="0.35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1"/>
    </row>
    <row r="8" spans="1:45" x14ac:dyDescent="0.3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1"/>
      <c r="AG8" s="116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8"/>
    </row>
    <row r="9" spans="1:45" x14ac:dyDescent="0.3">
      <c r="A9" s="112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1"/>
      <c r="AG9" s="119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1"/>
    </row>
    <row r="10" spans="1:45" x14ac:dyDescent="0.3">
      <c r="A10" s="112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1"/>
      <c r="AG10" s="119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1"/>
    </row>
    <row r="11" spans="1:45" x14ac:dyDescent="0.3">
      <c r="A11" s="112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1"/>
      <c r="AG11" s="119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5" x14ac:dyDescent="0.3">
      <c r="A12" s="112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1"/>
      <c r="AG12" s="119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1"/>
    </row>
    <row r="13" spans="1:45" x14ac:dyDescent="0.3">
      <c r="A13" s="112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1"/>
      <c r="AG13" s="119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1"/>
    </row>
    <row r="14" spans="1:45" x14ac:dyDescent="0.3">
      <c r="A14" s="112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1"/>
      <c r="AG14" s="119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1"/>
    </row>
    <row r="15" spans="1:45" x14ac:dyDescent="0.3">
      <c r="A15" s="112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1"/>
      <c r="AG15" s="119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1"/>
    </row>
    <row r="16" spans="1:45" x14ac:dyDescent="0.3">
      <c r="A16" s="112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1"/>
      <c r="AG16" s="119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1"/>
    </row>
    <row r="17" spans="1:45" x14ac:dyDescent="0.3">
      <c r="A17" s="112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1"/>
      <c r="AG17" s="119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1"/>
    </row>
    <row r="18" spans="1:45" x14ac:dyDescent="0.3">
      <c r="A18" s="112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1"/>
      <c r="AG18" s="119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1"/>
    </row>
    <row r="19" spans="1:45" x14ac:dyDescent="0.3">
      <c r="A19" s="112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1"/>
      <c r="AG19" s="119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1"/>
    </row>
    <row r="20" spans="1:45" x14ac:dyDescent="0.3">
      <c r="A20" s="112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1"/>
      <c r="AG20" s="119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1"/>
    </row>
    <row r="21" spans="1:45" x14ac:dyDescent="0.3">
      <c r="A21" s="112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1"/>
      <c r="AG21" s="119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1"/>
    </row>
    <row r="22" spans="1:45" x14ac:dyDescent="0.3">
      <c r="A22" s="112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1"/>
      <c r="AG22" s="119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1"/>
    </row>
    <row r="23" spans="1:45" x14ac:dyDescent="0.3">
      <c r="A23" s="112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1"/>
      <c r="AG23" s="119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1"/>
    </row>
    <row r="24" spans="1:45" x14ac:dyDescent="0.3">
      <c r="A24" s="112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1"/>
      <c r="AG24" s="119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1"/>
    </row>
    <row r="25" spans="1:45" x14ac:dyDescent="0.3">
      <c r="A25" s="112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1"/>
      <c r="AG25" s="119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1"/>
    </row>
    <row r="26" spans="1:4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1"/>
      <c r="AG26" s="119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1"/>
    </row>
    <row r="27" spans="1:45" x14ac:dyDescent="0.3">
      <c r="A27" s="112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1"/>
      <c r="AG27" s="119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1"/>
    </row>
    <row r="28" spans="1:45" x14ac:dyDescent="0.3">
      <c r="A28" s="112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1"/>
      <c r="AG28" s="119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1"/>
    </row>
    <row r="29" spans="1:45" x14ac:dyDescent="0.3">
      <c r="A29" s="112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1"/>
      <c r="AG29" s="119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1"/>
    </row>
    <row r="30" spans="1:45" x14ac:dyDescent="0.3">
      <c r="A30" s="112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1"/>
      <c r="AG30" s="119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1"/>
    </row>
    <row r="31" spans="1:45" x14ac:dyDescent="0.3">
      <c r="A31" s="112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1"/>
      <c r="AG31" s="119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1"/>
    </row>
    <row r="32" spans="1:45" x14ac:dyDescent="0.3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1"/>
      <c r="AG32" s="119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1"/>
    </row>
    <row r="33" spans="1:45" x14ac:dyDescent="0.3">
      <c r="A33" s="112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1"/>
      <c r="AG33" s="119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1"/>
    </row>
    <row r="34" spans="1:45" x14ac:dyDescent="0.3">
      <c r="A34" s="112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1"/>
      <c r="AG34" s="119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1"/>
    </row>
    <row r="35" spans="1:45" x14ac:dyDescent="0.3">
      <c r="A35" s="112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1"/>
      <c r="AG35" s="119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1"/>
    </row>
    <row r="36" spans="1:45" x14ac:dyDescent="0.3">
      <c r="A36" s="112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1"/>
      <c r="AG36" s="119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1"/>
    </row>
    <row r="37" spans="1:45" x14ac:dyDescent="0.3">
      <c r="A37" s="112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31"/>
      <c r="AG37" s="119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1"/>
    </row>
    <row r="38" spans="1:45" ht="15" thickBot="1" x14ac:dyDescent="0.35">
      <c r="A38" s="112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31"/>
      <c r="AG38" s="122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4"/>
    </row>
    <row r="39" spans="1:45" x14ac:dyDescent="0.3">
      <c r="A39" s="112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31"/>
    </row>
    <row r="40" spans="1:45" x14ac:dyDescent="0.3">
      <c r="A40" s="112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31"/>
    </row>
    <row r="41" spans="1:45" x14ac:dyDescent="0.3">
      <c r="A41" s="112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31"/>
    </row>
    <row r="42" spans="1:45" x14ac:dyDescent="0.3">
      <c r="A42" s="112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31"/>
    </row>
    <row r="43" spans="1:45" x14ac:dyDescent="0.3">
      <c r="A43" s="112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31"/>
    </row>
    <row r="44" spans="1:45" x14ac:dyDescent="0.3">
      <c r="A44" s="112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31"/>
    </row>
    <row r="45" spans="1:45" x14ac:dyDescent="0.3">
      <c r="A45" s="112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31"/>
    </row>
    <row r="46" spans="1:45" x14ac:dyDescent="0.3">
      <c r="A46" s="112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31"/>
    </row>
    <row r="47" spans="1:45" x14ac:dyDescent="0.3">
      <c r="A47" s="112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31"/>
    </row>
    <row r="48" spans="1:45" x14ac:dyDescent="0.3">
      <c r="A48" s="112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31"/>
    </row>
    <row r="49" spans="1:32" x14ac:dyDescent="0.3">
      <c r="A49" s="112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31"/>
    </row>
    <row r="50" spans="1:32" x14ac:dyDescent="0.3">
      <c r="A50" s="112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31"/>
    </row>
    <row r="51" spans="1:32" x14ac:dyDescent="0.3">
      <c r="A51" s="112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31"/>
    </row>
    <row r="52" spans="1:32" x14ac:dyDescent="0.3">
      <c r="A52" s="112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31"/>
    </row>
    <row r="53" spans="1:32" x14ac:dyDescent="0.3">
      <c r="A53" s="112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31"/>
    </row>
    <row r="54" spans="1:32" x14ac:dyDescent="0.3">
      <c r="A54" s="112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31"/>
    </row>
    <row r="55" spans="1:32" x14ac:dyDescent="0.3">
      <c r="A55" s="112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31"/>
    </row>
    <row r="56" spans="1:32" ht="15" thickBot="1" x14ac:dyDescent="0.35">
      <c r="A56" s="114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TO&amp;Landing Sensibility Analysis</vt:lpstr>
      <vt:lpstr>Charts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</dc:creator>
  <cp:lastModifiedBy>Vittorio </cp:lastModifiedBy>
  <dcterms:created xsi:type="dcterms:W3CDTF">2016-03-14T11:15:23Z</dcterms:created>
  <dcterms:modified xsi:type="dcterms:W3CDTF">2016-03-14T18:31:59Z</dcterms:modified>
</cp:coreProperties>
</file>