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 activeTab="2"/>
  </bookViews>
  <sheets>
    <sheet name="Giordano" sheetId="1" r:id="rId1"/>
    <sheet name="Delft" sheetId="2" r:id="rId2"/>
    <sheet name="Roskam" sheetId="3" r:id="rId3"/>
    <sheet name="Grafici" sheetId="4" r:id="rId4"/>
  </sheets>
  <calcPr calcId="14562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L7" i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K6" i="3" s="1"/>
  <c r="N7" i="3"/>
  <c r="N6" i="3"/>
  <c r="I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B6" i="3"/>
  <c r="C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26" i="3" s="1"/>
  <c r="C26" i="3" s="1"/>
  <c r="L2" i="3"/>
  <c r="K2" i="3"/>
  <c r="BC8" i="1"/>
  <c r="BC9" i="1"/>
  <c r="J9" i="1" s="1"/>
  <c r="BC10" i="1"/>
  <c r="BC11" i="1"/>
  <c r="BC12" i="1"/>
  <c r="BC13" i="1"/>
  <c r="J13" i="1" s="1"/>
  <c r="BC14" i="1"/>
  <c r="BC15" i="1"/>
  <c r="BC16" i="1"/>
  <c r="BC17" i="1"/>
  <c r="J17" i="1" s="1"/>
  <c r="BC18" i="1"/>
  <c r="BC19" i="1"/>
  <c r="BC20" i="1"/>
  <c r="BC21" i="1"/>
  <c r="J21" i="1" s="1"/>
  <c r="BC22" i="1"/>
  <c r="BC23" i="1"/>
  <c r="BC24" i="1"/>
  <c r="BC25" i="1"/>
  <c r="J25" i="1" s="1"/>
  <c r="BC26" i="1"/>
  <c r="BC27" i="1"/>
  <c r="BC7" i="1"/>
  <c r="J7" i="1" s="1"/>
  <c r="J8" i="1"/>
  <c r="J10" i="1"/>
  <c r="J11" i="1"/>
  <c r="J12" i="1"/>
  <c r="J14" i="1"/>
  <c r="J15" i="1"/>
  <c r="J16" i="1"/>
  <c r="J18" i="1"/>
  <c r="J19" i="1"/>
  <c r="J20" i="1"/>
  <c r="J22" i="1"/>
  <c r="J23" i="1"/>
  <c r="J24" i="1"/>
  <c r="J26" i="1"/>
  <c r="J27" i="1"/>
  <c r="H7" i="2"/>
  <c r="M7" i="2" s="1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6" i="2"/>
  <c r="O1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B25" i="3" l="1"/>
  <c r="C25" i="3" s="1"/>
  <c r="B21" i="3"/>
  <c r="C21" i="3" s="1"/>
  <c r="B17" i="3"/>
  <c r="C17" i="3" s="1"/>
  <c r="B13" i="3"/>
  <c r="C13" i="3" s="1"/>
  <c r="B9" i="3"/>
  <c r="C9" i="3" s="1"/>
  <c r="B24" i="3"/>
  <c r="C24" i="3" s="1"/>
  <c r="B20" i="3"/>
  <c r="C20" i="3" s="1"/>
  <c r="B16" i="3"/>
  <c r="C16" i="3" s="1"/>
  <c r="B12" i="3"/>
  <c r="C12" i="3" s="1"/>
  <c r="B8" i="3"/>
  <c r="C8" i="3" s="1"/>
  <c r="B23" i="3"/>
  <c r="C23" i="3" s="1"/>
  <c r="B19" i="3"/>
  <c r="C19" i="3" s="1"/>
  <c r="B15" i="3"/>
  <c r="C15" i="3" s="1"/>
  <c r="B11" i="3"/>
  <c r="C11" i="3" s="1"/>
  <c r="B7" i="3"/>
  <c r="C7" i="3" s="1"/>
  <c r="B22" i="3"/>
  <c r="C22" i="3" s="1"/>
  <c r="B18" i="3"/>
  <c r="C18" i="3" s="1"/>
  <c r="B14" i="3"/>
  <c r="C14" i="3" s="1"/>
  <c r="B10" i="3"/>
  <c r="C10" i="3" s="1"/>
  <c r="M22" i="2"/>
  <c r="M14" i="2"/>
  <c r="J7" i="2"/>
  <c r="M26" i="2"/>
  <c r="M18" i="2"/>
  <c r="M10" i="2"/>
  <c r="M20" i="2"/>
  <c r="M12" i="2"/>
  <c r="M24" i="2"/>
  <c r="M16" i="2"/>
  <c r="M8" i="2"/>
  <c r="N19" i="2"/>
  <c r="M25" i="2"/>
  <c r="M21" i="2"/>
  <c r="M17" i="2"/>
  <c r="M13" i="2"/>
  <c r="M9" i="2"/>
  <c r="N26" i="2"/>
  <c r="N22" i="2"/>
  <c r="N18" i="2"/>
  <c r="N14" i="2"/>
  <c r="N10" i="2"/>
  <c r="N25" i="2"/>
  <c r="N21" i="2"/>
  <c r="N17" i="2"/>
  <c r="N13" i="2"/>
  <c r="N9" i="2"/>
  <c r="N7" i="2"/>
  <c r="M27" i="2"/>
  <c r="M23" i="2"/>
  <c r="M19" i="2"/>
  <c r="M15" i="2"/>
  <c r="M11" i="2"/>
  <c r="N24" i="2"/>
  <c r="N20" i="2"/>
  <c r="N16" i="2"/>
  <c r="N12" i="2"/>
  <c r="N8" i="2"/>
  <c r="N27" i="2"/>
  <c r="N23" i="2"/>
  <c r="N15" i="2"/>
  <c r="N11" i="2"/>
  <c r="K26" i="2"/>
  <c r="L26" i="2" s="1"/>
  <c r="K22" i="2"/>
  <c r="L22" i="2" s="1"/>
  <c r="P22" i="2" s="1"/>
  <c r="Q22" i="2" s="1"/>
  <c r="K18" i="2"/>
  <c r="L18" i="2" s="1"/>
  <c r="K14" i="2"/>
  <c r="L14" i="2" s="1"/>
  <c r="P14" i="2" s="1"/>
  <c r="Q14" i="2" s="1"/>
  <c r="K10" i="2"/>
  <c r="L10" i="2" s="1"/>
  <c r="K25" i="2"/>
  <c r="L25" i="2" s="1"/>
  <c r="P25" i="2" s="1"/>
  <c r="Q25" i="2" s="1"/>
  <c r="K21" i="2"/>
  <c r="L21" i="2" s="1"/>
  <c r="K17" i="2"/>
  <c r="L17" i="2" s="1"/>
  <c r="K13" i="2"/>
  <c r="L13" i="2" s="1"/>
  <c r="K9" i="2"/>
  <c r="L9" i="2" s="1"/>
  <c r="P9" i="2" s="1"/>
  <c r="Q9" i="2" s="1"/>
  <c r="K24" i="2"/>
  <c r="L24" i="2" s="1"/>
  <c r="K20" i="2"/>
  <c r="L20" i="2" s="1"/>
  <c r="K16" i="2"/>
  <c r="L16" i="2" s="1"/>
  <c r="K12" i="2"/>
  <c r="L12" i="2" s="1"/>
  <c r="P12" i="2" s="1"/>
  <c r="Q12" i="2" s="1"/>
  <c r="K8" i="2"/>
  <c r="L8" i="2" s="1"/>
  <c r="K27" i="2"/>
  <c r="L27" i="2" s="1"/>
  <c r="K23" i="2"/>
  <c r="L23" i="2" s="1"/>
  <c r="K19" i="2"/>
  <c r="L19" i="2" s="1"/>
  <c r="P19" i="2" s="1"/>
  <c r="Q19" i="2" s="1"/>
  <c r="K15" i="2"/>
  <c r="L15" i="2" s="1"/>
  <c r="K11" i="2"/>
  <c r="L11" i="2" s="1"/>
  <c r="P11" i="2" s="1"/>
  <c r="Q11" i="2" s="1"/>
  <c r="K7" i="2"/>
  <c r="L7" i="2" s="1"/>
  <c r="A8" i="2"/>
  <c r="A9" i="2" s="1"/>
  <c r="B7" i="2"/>
  <c r="L2" i="2"/>
  <c r="K2" i="2"/>
  <c r="R28" i="1"/>
  <c r="S28" i="1" s="1"/>
  <c r="U28" i="1" s="1"/>
  <c r="W28" i="1" s="1"/>
  <c r="AZ49" i="1"/>
  <c r="AZ50" i="1"/>
  <c r="AZ51" i="1"/>
  <c r="AZ52" i="1"/>
  <c r="AZ53" i="1"/>
  <c r="AZ54" i="1"/>
  <c r="BA52" i="1"/>
  <c r="BA53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4" i="1"/>
  <c r="BA55" i="1"/>
  <c r="AE36" i="1"/>
  <c r="AG36" i="1" s="1"/>
  <c r="AI36" i="1" s="1"/>
  <c r="AK36" i="1" s="1"/>
  <c r="AE37" i="1"/>
  <c r="AF37" i="1" s="1"/>
  <c r="AH37" i="1" s="1"/>
  <c r="AJ37" i="1" s="1"/>
  <c r="AE38" i="1"/>
  <c r="AF38" i="1" s="1"/>
  <c r="AH38" i="1" s="1"/>
  <c r="AJ38" i="1" s="1"/>
  <c r="AE39" i="1"/>
  <c r="AF39" i="1" s="1"/>
  <c r="AH39" i="1" s="1"/>
  <c r="AJ39" i="1" s="1"/>
  <c r="AE40" i="1"/>
  <c r="AG40" i="1" s="1"/>
  <c r="AI40" i="1" s="1"/>
  <c r="AK40" i="1" s="1"/>
  <c r="AE41" i="1"/>
  <c r="AF41" i="1" s="1"/>
  <c r="AH41" i="1" s="1"/>
  <c r="AJ41" i="1" s="1"/>
  <c r="AE42" i="1"/>
  <c r="AF42" i="1" s="1"/>
  <c r="AH42" i="1" s="1"/>
  <c r="AJ42" i="1" s="1"/>
  <c r="AE43" i="1"/>
  <c r="AF43" i="1" s="1"/>
  <c r="AH43" i="1" s="1"/>
  <c r="AJ43" i="1" s="1"/>
  <c r="AE44" i="1"/>
  <c r="AG44" i="1" s="1"/>
  <c r="AI44" i="1" s="1"/>
  <c r="AK44" i="1" s="1"/>
  <c r="AE45" i="1"/>
  <c r="AF45" i="1" s="1"/>
  <c r="AH45" i="1" s="1"/>
  <c r="AJ45" i="1" s="1"/>
  <c r="AE46" i="1"/>
  <c r="AF46" i="1" s="1"/>
  <c r="AH46" i="1" s="1"/>
  <c r="AJ46" i="1" s="1"/>
  <c r="AE47" i="1"/>
  <c r="AF47" i="1" s="1"/>
  <c r="AH47" i="1" s="1"/>
  <c r="AJ47" i="1" s="1"/>
  <c r="AE48" i="1"/>
  <c r="AG48" i="1" s="1"/>
  <c r="AI48" i="1" s="1"/>
  <c r="AK48" i="1" s="1"/>
  <c r="AE49" i="1"/>
  <c r="AF49" i="1" s="1"/>
  <c r="AH49" i="1" s="1"/>
  <c r="AJ49" i="1" s="1"/>
  <c r="AE50" i="1"/>
  <c r="AF50" i="1" s="1"/>
  <c r="AH50" i="1" s="1"/>
  <c r="AJ50" i="1" s="1"/>
  <c r="AE51" i="1"/>
  <c r="AF51" i="1" s="1"/>
  <c r="AH51" i="1" s="1"/>
  <c r="AJ51" i="1" s="1"/>
  <c r="AE52" i="1"/>
  <c r="AG52" i="1" s="1"/>
  <c r="AI52" i="1" s="1"/>
  <c r="AK52" i="1" s="1"/>
  <c r="AE53" i="1"/>
  <c r="AF53" i="1" s="1"/>
  <c r="AH53" i="1" s="1"/>
  <c r="AJ53" i="1" s="1"/>
  <c r="AE54" i="1"/>
  <c r="AF54" i="1" s="1"/>
  <c r="AH54" i="1" s="1"/>
  <c r="AJ54" i="1" s="1"/>
  <c r="AE55" i="1"/>
  <c r="AF55" i="1" s="1"/>
  <c r="AH55" i="1" s="1"/>
  <c r="AJ55" i="1" s="1"/>
  <c r="AE56" i="1"/>
  <c r="AG56" i="1" s="1"/>
  <c r="AI56" i="1" s="1"/>
  <c r="AK56" i="1" s="1"/>
  <c r="R36" i="1"/>
  <c r="R37" i="1"/>
  <c r="S37" i="1" s="1"/>
  <c r="R38" i="1"/>
  <c r="AQ38" i="1" s="1"/>
  <c r="R39" i="1"/>
  <c r="R40" i="1"/>
  <c r="R41" i="1"/>
  <c r="S41" i="1" s="1"/>
  <c r="R42" i="1"/>
  <c r="AQ42" i="1" s="1"/>
  <c r="R43" i="1"/>
  <c r="R44" i="1"/>
  <c r="R45" i="1"/>
  <c r="R46" i="1"/>
  <c r="AQ46" i="1" s="1"/>
  <c r="R47" i="1"/>
  <c r="R48" i="1"/>
  <c r="R49" i="1"/>
  <c r="S49" i="1" s="1"/>
  <c r="R50" i="1"/>
  <c r="AQ50" i="1" s="1"/>
  <c r="R51" i="1"/>
  <c r="R52" i="1"/>
  <c r="R53" i="1"/>
  <c r="S53" i="1" s="1"/>
  <c r="R54" i="1"/>
  <c r="AQ54" i="1" s="1"/>
  <c r="R55" i="1"/>
  <c r="R56" i="1"/>
  <c r="T56" i="1" s="1"/>
  <c r="V56" i="1" s="1"/>
  <c r="X5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R7" i="1"/>
  <c r="S7" i="1" s="1"/>
  <c r="U7" i="1" s="1"/>
  <c r="W7" i="1" s="1"/>
  <c r="AI28" i="1"/>
  <c r="AE8" i="1"/>
  <c r="AG8" i="1" s="1"/>
  <c r="AI8" i="1" s="1"/>
  <c r="AK8" i="1" s="1"/>
  <c r="AE9" i="1"/>
  <c r="AG9" i="1" s="1"/>
  <c r="AI9" i="1" s="1"/>
  <c r="AK9" i="1" s="1"/>
  <c r="AE10" i="1"/>
  <c r="AG10" i="1" s="1"/>
  <c r="AI10" i="1" s="1"/>
  <c r="AK10" i="1" s="1"/>
  <c r="AE11" i="1"/>
  <c r="AG11" i="1" s="1"/>
  <c r="AI11" i="1" s="1"/>
  <c r="AK11" i="1" s="1"/>
  <c r="AE12" i="1"/>
  <c r="AG12" i="1" s="1"/>
  <c r="AI12" i="1" s="1"/>
  <c r="AK12" i="1" s="1"/>
  <c r="AE13" i="1"/>
  <c r="AG13" i="1" s="1"/>
  <c r="AI13" i="1" s="1"/>
  <c r="AK13" i="1" s="1"/>
  <c r="AE14" i="1"/>
  <c r="AG14" i="1" s="1"/>
  <c r="AI14" i="1" s="1"/>
  <c r="AK14" i="1" s="1"/>
  <c r="AE15" i="1"/>
  <c r="AG15" i="1" s="1"/>
  <c r="AI15" i="1" s="1"/>
  <c r="AK15" i="1" s="1"/>
  <c r="AE16" i="1"/>
  <c r="AG16" i="1" s="1"/>
  <c r="AI16" i="1" s="1"/>
  <c r="AK16" i="1" s="1"/>
  <c r="AE17" i="1"/>
  <c r="AG17" i="1" s="1"/>
  <c r="AI17" i="1" s="1"/>
  <c r="AK17" i="1" s="1"/>
  <c r="AE18" i="1"/>
  <c r="AG18" i="1" s="1"/>
  <c r="AI18" i="1" s="1"/>
  <c r="AK18" i="1" s="1"/>
  <c r="AE19" i="1"/>
  <c r="AG19" i="1" s="1"/>
  <c r="AI19" i="1" s="1"/>
  <c r="AK19" i="1" s="1"/>
  <c r="AE20" i="1"/>
  <c r="AG20" i="1" s="1"/>
  <c r="AI20" i="1" s="1"/>
  <c r="AK20" i="1" s="1"/>
  <c r="AE21" i="1"/>
  <c r="AG21" i="1" s="1"/>
  <c r="AI21" i="1" s="1"/>
  <c r="AK21" i="1" s="1"/>
  <c r="AE22" i="1"/>
  <c r="AG22" i="1" s="1"/>
  <c r="AI22" i="1" s="1"/>
  <c r="AK22" i="1" s="1"/>
  <c r="AE23" i="1"/>
  <c r="AG23" i="1" s="1"/>
  <c r="AI23" i="1" s="1"/>
  <c r="AK23" i="1" s="1"/>
  <c r="AE24" i="1"/>
  <c r="AG24" i="1" s="1"/>
  <c r="AI24" i="1" s="1"/>
  <c r="AK24" i="1" s="1"/>
  <c r="AE25" i="1"/>
  <c r="AG25" i="1" s="1"/>
  <c r="AI25" i="1" s="1"/>
  <c r="AK25" i="1" s="1"/>
  <c r="AE26" i="1"/>
  <c r="AG26" i="1" s="1"/>
  <c r="AI26" i="1" s="1"/>
  <c r="AK26" i="1" s="1"/>
  <c r="AE27" i="1"/>
  <c r="AG27" i="1" s="1"/>
  <c r="AI27" i="1" s="1"/>
  <c r="AK27" i="1" s="1"/>
  <c r="AE7" i="1"/>
  <c r="AF7" i="1" s="1"/>
  <c r="R8" i="1"/>
  <c r="T8" i="1" s="1"/>
  <c r="V8" i="1" s="1"/>
  <c r="X8" i="1" s="1"/>
  <c r="R9" i="1"/>
  <c r="T9" i="1" s="1"/>
  <c r="V9" i="1" s="1"/>
  <c r="X9" i="1" s="1"/>
  <c r="R10" i="1"/>
  <c r="T10" i="1" s="1"/>
  <c r="V10" i="1" s="1"/>
  <c r="X10" i="1" s="1"/>
  <c r="R11" i="1"/>
  <c r="T11" i="1" s="1"/>
  <c r="V11" i="1" s="1"/>
  <c r="X11" i="1" s="1"/>
  <c r="R12" i="1"/>
  <c r="T12" i="1" s="1"/>
  <c r="V12" i="1" s="1"/>
  <c r="X12" i="1" s="1"/>
  <c r="R13" i="1"/>
  <c r="T13" i="1" s="1"/>
  <c r="V13" i="1" s="1"/>
  <c r="X13" i="1" s="1"/>
  <c r="R14" i="1"/>
  <c r="T14" i="1" s="1"/>
  <c r="V14" i="1" s="1"/>
  <c r="X14" i="1" s="1"/>
  <c r="R15" i="1"/>
  <c r="T15" i="1" s="1"/>
  <c r="V15" i="1" s="1"/>
  <c r="X15" i="1" s="1"/>
  <c r="R16" i="1"/>
  <c r="T16" i="1" s="1"/>
  <c r="V16" i="1" s="1"/>
  <c r="X16" i="1" s="1"/>
  <c r="R17" i="1"/>
  <c r="T17" i="1" s="1"/>
  <c r="V17" i="1" s="1"/>
  <c r="X17" i="1" s="1"/>
  <c r="R18" i="1"/>
  <c r="T18" i="1" s="1"/>
  <c r="V18" i="1" s="1"/>
  <c r="X18" i="1" s="1"/>
  <c r="R19" i="1"/>
  <c r="T19" i="1" s="1"/>
  <c r="V19" i="1" s="1"/>
  <c r="X19" i="1" s="1"/>
  <c r="R20" i="1"/>
  <c r="T20" i="1" s="1"/>
  <c r="V20" i="1" s="1"/>
  <c r="X20" i="1" s="1"/>
  <c r="R21" i="1"/>
  <c r="T21" i="1" s="1"/>
  <c r="V21" i="1" s="1"/>
  <c r="X21" i="1" s="1"/>
  <c r="R22" i="1"/>
  <c r="T22" i="1" s="1"/>
  <c r="V22" i="1" s="1"/>
  <c r="X22" i="1" s="1"/>
  <c r="R23" i="1"/>
  <c r="T23" i="1" s="1"/>
  <c r="V23" i="1" s="1"/>
  <c r="X23" i="1" s="1"/>
  <c r="R24" i="1"/>
  <c r="T24" i="1" s="1"/>
  <c r="V24" i="1" s="1"/>
  <c r="X24" i="1" s="1"/>
  <c r="R25" i="1"/>
  <c r="T25" i="1" s="1"/>
  <c r="V25" i="1" s="1"/>
  <c r="X25" i="1" s="1"/>
  <c r="R26" i="1"/>
  <c r="T26" i="1" s="1"/>
  <c r="V26" i="1" s="1"/>
  <c r="X26" i="1" s="1"/>
  <c r="R27" i="1"/>
  <c r="T27" i="1" s="1"/>
  <c r="V27" i="1" s="1"/>
  <c r="X27" i="1" s="1"/>
  <c r="B7" i="1"/>
  <c r="C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22" i="2" s="1"/>
  <c r="K2" i="1"/>
  <c r="J2" i="1"/>
  <c r="B8" i="2" l="1"/>
  <c r="B12" i="2"/>
  <c r="B16" i="2"/>
  <c r="B20" i="2"/>
  <c r="B9" i="2"/>
  <c r="B13" i="2"/>
  <c r="B17" i="2"/>
  <c r="B21" i="2"/>
  <c r="B10" i="2"/>
  <c r="B14" i="2"/>
  <c r="B18" i="2"/>
  <c r="B11" i="2"/>
  <c r="B15" i="2"/>
  <c r="B19" i="2"/>
  <c r="P27" i="2"/>
  <c r="Q27" i="2" s="1"/>
  <c r="P20" i="2"/>
  <c r="Q20" i="2" s="1"/>
  <c r="P17" i="2"/>
  <c r="Q17" i="2" s="1"/>
  <c r="P8" i="2"/>
  <c r="Q8" i="2" s="1"/>
  <c r="P24" i="2"/>
  <c r="Q24" i="2" s="1"/>
  <c r="P18" i="2"/>
  <c r="Q18" i="2" s="1"/>
  <c r="P23" i="2"/>
  <c r="Q23" i="2" s="1"/>
  <c r="P7" i="2"/>
  <c r="Q7" i="2" s="1"/>
  <c r="P16" i="2"/>
  <c r="Q16" i="2" s="1"/>
  <c r="P10" i="2"/>
  <c r="Q10" i="2" s="1"/>
  <c r="P26" i="2"/>
  <c r="Q26" i="2" s="1"/>
  <c r="P13" i="2"/>
  <c r="Q13" i="2" s="1"/>
  <c r="P15" i="2"/>
  <c r="Q15" i="2" s="1"/>
  <c r="P21" i="2"/>
  <c r="Q21" i="2" s="1"/>
  <c r="C7" i="2"/>
  <c r="A10" i="2"/>
  <c r="AR53" i="1"/>
  <c r="AR49" i="1"/>
  <c r="AQ45" i="1"/>
  <c r="AR41" i="1"/>
  <c r="AR37" i="1"/>
  <c r="AQ55" i="1"/>
  <c r="AQ51" i="1"/>
  <c r="AQ47" i="1"/>
  <c r="AQ43" i="1"/>
  <c r="AQ39" i="1"/>
  <c r="AQ52" i="1"/>
  <c r="AQ48" i="1"/>
  <c r="AQ44" i="1"/>
  <c r="AQ40" i="1"/>
  <c r="AQ36" i="1"/>
  <c r="S50" i="1"/>
  <c r="AR50" i="1" s="1"/>
  <c r="S42" i="1"/>
  <c r="AR42" i="1" s="1"/>
  <c r="U56" i="1"/>
  <c r="U48" i="1"/>
  <c r="U40" i="1"/>
  <c r="W54" i="1"/>
  <c r="AV54" i="1" s="1"/>
  <c r="W46" i="1"/>
  <c r="AV46" i="1" s="1"/>
  <c r="W38" i="1"/>
  <c r="AV38" i="1" s="1"/>
  <c r="AF48" i="1"/>
  <c r="AH48" i="1" s="1"/>
  <c r="AJ48" i="1" s="1"/>
  <c r="S56" i="1"/>
  <c r="S48" i="1"/>
  <c r="S40" i="1"/>
  <c r="U53" i="1"/>
  <c r="AT53" i="1" s="1"/>
  <c r="U45" i="1"/>
  <c r="AT45" i="1" s="1"/>
  <c r="U37" i="1"/>
  <c r="AT37" i="1" s="1"/>
  <c r="W52" i="1"/>
  <c r="W44" i="1"/>
  <c r="W36" i="1"/>
  <c r="AF40" i="1"/>
  <c r="AH40" i="1" s="1"/>
  <c r="AJ40" i="1" s="1"/>
  <c r="S54" i="1"/>
  <c r="AR54" i="1" s="1"/>
  <c r="S46" i="1"/>
  <c r="AR46" i="1" s="1"/>
  <c r="S38" i="1"/>
  <c r="AR38" i="1" s="1"/>
  <c r="U52" i="1"/>
  <c r="U44" i="1"/>
  <c r="U36" i="1"/>
  <c r="W50" i="1"/>
  <c r="AV50" i="1" s="1"/>
  <c r="W42" i="1"/>
  <c r="AV42" i="1" s="1"/>
  <c r="S52" i="1"/>
  <c r="S44" i="1"/>
  <c r="S36" i="1"/>
  <c r="U49" i="1"/>
  <c r="AT49" i="1" s="1"/>
  <c r="U41" i="1"/>
  <c r="AT41" i="1" s="1"/>
  <c r="W56" i="1"/>
  <c r="W48" i="1"/>
  <c r="W40" i="1"/>
  <c r="AV40" i="1" s="1"/>
  <c r="AF56" i="1"/>
  <c r="AH56" i="1" s="1"/>
  <c r="AJ56" i="1" s="1"/>
  <c r="T28" i="1"/>
  <c r="V28" i="1" s="1"/>
  <c r="X28" i="1" s="1"/>
  <c r="AF52" i="1"/>
  <c r="AH52" i="1" s="1"/>
  <c r="AJ52" i="1" s="1"/>
  <c r="AF36" i="1"/>
  <c r="AH36" i="1" s="1"/>
  <c r="AJ36" i="1" s="1"/>
  <c r="AG51" i="1"/>
  <c r="AI51" i="1" s="1"/>
  <c r="AK51" i="1" s="1"/>
  <c r="AF44" i="1"/>
  <c r="AH44" i="1" s="1"/>
  <c r="AJ44" i="1" s="1"/>
  <c r="AG43" i="1"/>
  <c r="AI43" i="1" s="1"/>
  <c r="AK43" i="1" s="1"/>
  <c r="AQ41" i="1"/>
  <c r="T47" i="1"/>
  <c r="S55" i="1"/>
  <c r="AR55" i="1" s="1"/>
  <c r="S51" i="1"/>
  <c r="AR51" i="1" s="1"/>
  <c r="S47" i="1"/>
  <c r="AR47" i="1" s="1"/>
  <c r="S43" i="1"/>
  <c r="AR43" i="1" s="1"/>
  <c r="S39" i="1"/>
  <c r="AR39" i="1" s="1"/>
  <c r="W53" i="1"/>
  <c r="AV53" i="1" s="1"/>
  <c r="W49" i="1"/>
  <c r="AV49" i="1" s="1"/>
  <c r="W45" i="1"/>
  <c r="AV45" i="1" s="1"/>
  <c r="W41" i="1"/>
  <c r="AV41" i="1" s="1"/>
  <c r="W37" i="1"/>
  <c r="AV37" i="1" s="1"/>
  <c r="T54" i="1"/>
  <c r="T50" i="1"/>
  <c r="T46" i="1"/>
  <c r="T42" i="1"/>
  <c r="T38" i="1"/>
  <c r="AG55" i="1"/>
  <c r="AI55" i="1" s="1"/>
  <c r="AK55" i="1" s="1"/>
  <c r="AG39" i="1"/>
  <c r="AI39" i="1" s="1"/>
  <c r="AK39" i="1" s="1"/>
  <c r="AQ53" i="1"/>
  <c r="AQ37" i="1"/>
  <c r="T55" i="1"/>
  <c r="T43" i="1"/>
  <c r="U55" i="1"/>
  <c r="AT55" i="1" s="1"/>
  <c r="U51" i="1"/>
  <c r="AT51" i="1" s="1"/>
  <c r="U47" i="1"/>
  <c r="AT47" i="1" s="1"/>
  <c r="U43" i="1"/>
  <c r="AT43" i="1" s="1"/>
  <c r="U39" i="1"/>
  <c r="AT39" i="1" s="1"/>
  <c r="T53" i="1"/>
  <c r="T49" i="1"/>
  <c r="T45" i="1"/>
  <c r="T41" i="1"/>
  <c r="T37" i="1"/>
  <c r="AQ49" i="1"/>
  <c r="T51" i="1"/>
  <c r="T39" i="1"/>
  <c r="S45" i="1"/>
  <c r="AR45" i="1" s="1"/>
  <c r="U54" i="1"/>
  <c r="AT54" i="1" s="1"/>
  <c r="U50" i="1"/>
  <c r="AT50" i="1" s="1"/>
  <c r="U46" i="1"/>
  <c r="AT46" i="1" s="1"/>
  <c r="U42" i="1"/>
  <c r="AT42" i="1" s="1"/>
  <c r="U38" i="1"/>
  <c r="AT38" i="1" s="1"/>
  <c r="W55" i="1"/>
  <c r="AV55" i="1" s="1"/>
  <c r="W51" i="1"/>
  <c r="AV51" i="1" s="1"/>
  <c r="W47" i="1"/>
  <c r="AV47" i="1" s="1"/>
  <c r="W43" i="1"/>
  <c r="AV43" i="1" s="1"/>
  <c r="W39" i="1"/>
  <c r="AV39" i="1" s="1"/>
  <c r="T52" i="1"/>
  <c r="T48" i="1"/>
  <c r="T44" i="1"/>
  <c r="T40" i="1"/>
  <c r="T36" i="1"/>
  <c r="AG47" i="1"/>
  <c r="AI47" i="1" s="1"/>
  <c r="AK47" i="1" s="1"/>
  <c r="AG54" i="1"/>
  <c r="AI54" i="1" s="1"/>
  <c r="AK54" i="1" s="1"/>
  <c r="AG50" i="1"/>
  <c r="AI50" i="1" s="1"/>
  <c r="AK50" i="1" s="1"/>
  <c r="AG46" i="1"/>
  <c r="AI46" i="1" s="1"/>
  <c r="AK46" i="1" s="1"/>
  <c r="AG42" i="1"/>
  <c r="AI42" i="1" s="1"/>
  <c r="AK42" i="1" s="1"/>
  <c r="AG38" i="1"/>
  <c r="AI38" i="1" s="1"/>
  <c r="AK38" i="1" s="1"/>
  <c r="AG53" i="1"/>
  <c r="AI53" i="1" s="1"/>
  <c r="AK53" i="1" s="1"/>
  <c r="AG49" i="1"/>
  <c r="AI49" i="1" s="1"/>
  <c r="AK49" i="1" s="1"/>
  <c r="AG45" i="1"/>
  <c r="AI45" i="1" s="1"/>
  <c r="AK45" i="1" s="1"/>
  <c r="AG41" i="1"/>
  <c r="AI41" i="1" s="1"/>
  <c r="AK41" i="1" s="1"/>
  <c r="AG37" i="1"/>
  <c r="AI37" i="1" s="1"/>
  <c r="AK37" i="1" s="1"/>
  <c r="AW26" i="1"/>
  <c r="AS26" i="1"/>
  <c r="AQ24" i="1"/>
  <c r="AS22" i="1"/>
  <c r="AQ20" i="1"/>
  <c r="AS18" i="1"/>
  <c r="AQ16" i="1"/>
  <c r="AS14" i="1"/>
  <c r="AQ12" i="1"/>
  <c r="AS10" i="1"/>
  <c r="AQ8" i="1"/>
  <c r="AS27" i="1"/>
  <c r="AQ25" i="1"/>
  <c r="AS23" i="1"/>
  <c r="AQ21" i="1"/>
  <c r="AS19" i="1"/>
  <c r="AQ17" i="1"/>
  <c r="AS15" i="1"/>
  <c r="AQ13" i="1"/>
  <c r="AS11" i="1"/>
  <c r="AQ9" i="1"/>
  <c r="AQ26" i="1"/>
  <c r="AS24" i="1"/>
  <c r="AQ22" i="1"/>
  <c r="AS20" i="1"/>
  <c r="AQ18" i="1"/>
  <c r="AS16" i="1"/>
  <c r="AQ14" i="1"/>
  <c r="AS12" i="1"/>
  <c r="AQ10" i="1"/>
  <c r="AS8" i="1"/>
  <c r="AR7" i="1"/>
  <c r="AQ27" i="1"/>
  <c r="AS25" i="1"/>
  <c r="AQ23" i="1"/>
  <c r="AS21" i="1"/>
  <c r="AQ19" i="1"/>
  <c r="AS17" i="1"/>
  <c r="AQ15" i="1"/>
  <c r="AS13" i="1"/>
  <c r="AQ11" i="1"/>
  <c r="AS9" i="1"/>
  <c r="AQ7" i="1"/>
  <c r="AW27" i="1"/>
  <c r="AW23" i="1"/>
  <c r="AW19" i="1"/>
  <c r="AW15" i="1"/>
  <c r="AW11" i="1"/>
  <c r="AW24" i="1"/>
  <c r="AW20" i="1"/>
  <c r="AW22" i="1"/>
  <c r="AW18" i="1"/>
  <c r="AW14" i="1"/>
  <c r="AW10" i="1"/>
  <c r="AW16" i="1"/>
  <c r="AW12" i="1"/>
  <c r="AW8" i="1"/>
  <c r="AW25" i="1"/>
  <c r="AW21" i="1"/>
  <c r="AW17" i="1"/>
  <c r="AW13" i="1"/>
  <c r="AW9" i="1"/>
  <c r="AU27" i="1"/>
  <c r="AU23" i="1"/>
  <c r="AU19" i="1"/>
  <c r="AU15" i="1"/>
  <c r="AU11" i="1"/>
  <c r="AU26" i="1"/>
  <c r="AU22" i="1"/>
  <c r="AU18" i="1"/>
  <c r="AU14" i="1"/>
  <c r="AU10" i="1"/>
  <c r="AU25" i="1"/>
  <c r="AU21" i="1"/>
  <c r="AU17" i="1"/>
  <c r="AU13" i="1"/>
  <c r="AU9" i="1"/>
  <c r="AU24" i="1"/>
  <c r="AU20" i="1"/>
  <c r="AU16" i="1"/>
  <c r="AU12" i="1"/>
  <c r="AU8" i="1"/>
  <c r="T7" i="1"/>
  <c r="AH7" i="1"/>
  <c r="AF26" i="1"/>
  <c r="AF22" i="1"/>
  <c r="AF18" i="1"/>
  <c r="AF14" i="1"/>
  <c r="AF10" i="1"/>
  <c r="AG7" i="1"/>
  <c r="AI7" i="1" s="1"/>
  <c r="AK7" i="1" s="1"/>
  <c r="AF25" i="1"/>
  <c r="AF21" i="1"/>
  <c r="AF17" i="1"/>
  <c r="AF13" i="1"/>
  <c r="AF9" i="1"/>
  <c r="AF24" i="1"/>
  <c r="AF20" i="1"/>
  <c r="AF16" i="1"/>
  <c r="AF12" i="1"/>
  <c r="AF8" i="1"/>
  <c r="AF23" i="1"/>
  <c r="AF19" i="1"/>
  <c r="AF15" i="1"/>
  <c r="AF11" i="1"/>
  <c r="AF27" i="1"/>
  <c r="S24" i="1"/>
  <c r="S16" i="1"/>
  <c r="S8" i="1"/>
  <c r="AR8" i="1" s="1"/>
  <c r="S27" i="1"/>
  <c r="AR27" i="1" s="1"/>
  <c r="S23" i="1"/>
  <c r="S19" i="1"/>
  <c r="S15" i="1"/>
  <c r="S11" i="1"/>
  <c r="S26" i="1"/>
  <c r="S18" i="1"/>
  <c r="AR18" i="1" s="1"/>
  <c r="S10" i="1"/>
  <c r="S22" i="1"/>
  <c r="S14" i="1"/>
  <c r="S25" i="1"/>
  <c r="AR25" i="1" s="1"/>
  <c r="S21" i="1"/>
  <c r="AR21" i="1" s="1"/>
  <c r="S17" i="1"/>
  <c r="AR17" i="1" s="1"/>
  <c r="S13" i="1"/>
  <c r="AR13" i="1" s="1"/>
  <c r="S9" i="1"/>
  <c r="AR9" i="1" s="1"/>
  <c r="S20" i="1"/>
  <c r="S12" i="1"/>
  <c r="F8" i="1"/>
  <c r="B8" i="1"/>
  <c r="B16" i="1"/>
  <c r="H21" i="1"/>
  <c r="I21" i="1" s="1"/>
  <c r="H17" i="1"/>
  <c r="I17" i="1" s="1"/>
  <c r="H13" i="1"/>
  <c r="I13" i="1" s="1"/>
  <c r="H9" i="1"/>
  <c r="I9" i="1" s="1"/>
  <c r="F19" i="1"/>
  <c r="F15" i="1"/>
  <c r="F11" i="1"/>
  <c r="F7" i="1"/>
  <c r="H20" i="1"/>
  <c r="I20" i="1" s="1"/>
  <c r="H16" i="1"/>
  <c r="I16" i="1" s="1"/>
  <c r="BC45" i="1" s="1"/>
  <c r="H12" i="1"/>
  <c r="I12" i="1" s="1"/>
  <c r="H8" i="1"/>
  <c r="I8" i="1" s="1"/>
  <c r="BC37" i="1" s="1"/>
  <c r="F18" i="1"/>
  <c r="F14" i="1"/>
  <c r="F10" i="1"/>
  <c r="H11" i="1"/>
  <c r="I11" i="1" s="1"/>
  <c r="H19" i="1"/>
  <c r="I19" i="1" s="1"/>
  <c r="H15" i="1"/>
  <c r="I15" i="1" s="1"/>
  <c r="H7" i="1"/>
  <c r="I7" i="1" s="1"/>
  <c r="F21" i="1"/>
  <c r="F17" i="1"/>
  <c r="F13" i="1"/>
  <c r="F9" i="1"/>
  <c r="B12" i="1"/>
  <c r="H18" i="1"/>
  <c r="I18" i="1" s="1"/>
  <c r="BC47" i="1" s="1"/>
  <c r="H14" i="1"/>
  <c r="I14" i="1" s="1"/>
  <c r="BC43" i="1" s="1"/>
  <c r="H10" i="1"/>
  <c r="I10" i="1" s="1"/>
  <c r="BC39" i="1" s="1"/>
  <c r="F20" i="1"/>
  <c r="F16" i="1"/>
  <c r="F12" i="1"/>
  <c r="B20" i="1"/>
  <c r="C20" i="2" s="1"/>
  <c r="A23" i="1"/>
  <c r="B22" i="1"/>
  <c r="C22" i="2" s="1"/>
  <c r="B19" i="1"/>
  <c r="C19" i="2" s="1"/>
  <c r="B15" i="1"/>
  <c r="C15" i="2" s="1"/>
  <c r="B11" i="1"/>
  <c r="B18" i="1"/>
  <c r="C18" i="2" s="1"/>
  <c r="B14" i="1"/>
  <c r="B10" i="1"/>
  <c r="B21" i="1"/>
  <c r="C21" i="2" s="1"/>
  <c r="B17" i="1"/>
  <c r="C17" i="2" s="1"/>
  <c r="B13" i="1"/>
  <c r="B9" i="1"/>
  <c r="H22" i="1" l="1"/>
  <c r="I22" i="1" s="1"/>
  <c r="BC51" i="1" s="1"/>
  <c r="B23" i="2"/>
  <c r="C13" i="1"/>
  <c r="C13" i="2"/>
  <c r="C11" i="1"/>
  <c r="C11" i="2"/>
  <c r="C12" i="1"/>
  <c r="C12" i="2"/>
  <c r="C9" i="1"/>
  <c r="C9" i="2"/>
  <c r="C10" i="1"/>
  <c r="C10" i="2"/>
  <c r="G9" i="1"/>
  <c r="G10" i="1"/>
  <c r="G11" i="1"/>
  <c r="C8" i="1"/>
  <c r="C8" i="2"/>
  <c r="G12" i="1"/>
  <c r="G13" i="1"/>
  <c r="G8" i="1"/>
  <c r="C14" i="1"/>
  <c r="C14" i="2"/>
  <c r="G14" i="1"/>
  <c r="G16" i="1"/>
  <c r="G7" i="1"/>
  <c r="C16" i="1"/>
  <c r="C16" i="2"/>
  <c r="A11" i="2"/>
  <c r="AV44" i="1"/>
  <c r="BC44" i="1" s="1"/>
  <c r="AT40" i="1"/>
  <c r="BC40" i="1" s="1"/>
  <c r="AT44" i="1"/>
  <c r="BC50" i="1"/>
  <c r="BC41" i="1"/>
  <c r="AV52" i="1"/>
  <c r="BC42" i="1"/>
  <c r="BC46" i="1"/>
  <c r="AR12" i="1"/>
  <c r="BC38" i="1"/>
  <c r="AV36" i="1"/>
  <c r="AT52" i="1"/>
  <c r="AR52" i="1"/>
  <c r="AT36" i="1"/>
  <c r="AT48" i="1"/>
  <c r="AR40" i="1"/>
  <c r="BC49" i="1"/>
  <c r="AR48" i="1"/>
  <c r="AV48" i="1"/>
  <c r="AR44" i="1"/>
  <c r="AR36" i="1"/>
  <c r="AS40" i="1"/>
  <c r="V40" i="1"/>
  <c r="AS41" i="1"/>
  <c r="V41" i="1"/>
  <c r="AS43" i="1"/>
  <c r="V43" i="1"/>
  <c r="AS46" i="1"/>
  <c r="V46" i="1"/>
  <c r="AS47" i="1"/>
  <c r="V47" i="1"/>
  <c r="AS44" i="1"/>
  <c r="V44" i="1"/>
  <c r="AS39" i="1"/>
  <c r="V39" i="1"/>
  <c r="V45" i="1"/>
  <c r="AS45" i="1"/>
  <c r="AS55" i="1"/>
  <c r="V55" i="1"/>
  <c r="AS50" i="1"/>
  <c r="V50" i="1"/>
  <c r="AT7" i="1"/>
  <c r="AJ7" i="1"/>
  <c r="AV7" i="1" s="1"/>
  <c r="AS48" i="1"/>
  <c r="V48" i="1"/>
  <c r="AS51" i="1"/>
  <c r="V51" i="1"/>
  <c r="V49" i="1"/>
  <c r="AS49" i="1"/>
  <c r="AS38" i="1"/>
  <c r="V38" i="1"/>
  <c r="AS54" i="1"/>
  <c r="V54" i="1"/>
  <c r="AS36" i="1"/>
  <c r="V36" i="1"/>
  <c r="AS52" i="1"/>
  <c r="V52" i="1"/>
  <c r="AS37" i="1"/>
  <c r="V37" i="1"/>
  <c r="AS53" i="1"/>
  <c r="V53" i="1"/>
  <c r="AS42" i="1"/>
  <c r="V42" i="1"/>
  <c r="AR22" i="1"/>
  <c r="AR14" i="1"/>
  <c r="AR24" i="1"/>
  <c r="AR11" i="1"/>
  <c r="AR15" i="1"/>
  <c r="AR26" i="1"/>
  <c r="AR23" i="1"/>
  <c r="AR20" i="1"/>
  <c r="AR10" i="1"/>
  <c r="AR19" i="1"/>
  <c r="AR16" i="1"/>
  <c r="AS7" i="1"/>
  <c r="U13" i="1"/>
  <c r="U14" i="1"/>
  <c r="U26" i="1"/>
  <c r="U23" i="1"/>
  <c r="U24" i="1"/>
  <c r="V7" i="1"/>
  <c r="U12" i="1"/>
  <c r="U17" i="1"/>
  <c r="U22" i="1"/>
  <c r="U11" i="1"/>
  <c r="U27" i="1"/>
  <c r="U20" i="1"/>
  <c r="U21" i="1"/>
  <c r="U10" i="1"/>
  <c r="U15" i="1"/>
  <c r="U8" i="1"/>
  <c r="U9" i="1"/>
  <c r="U25" i="1"/>
  <c r="U18" i="1"/>
  <c r="U19" i="1"/>
  <c r="U16" i="1"/>
  <c r="AH19" i="1"/>
  <c r="AJ19" i="1" s="1"/>
  <c r="AH16" i="1"/>
  <c r="AJ16" i="1" s="1"/>
  <c r="AH13" i="1"/>
  <c r="AJ13" i="1" s="1"/>
  <c r="AH22" i="1"/>
  <c r="AJ22" i="1" s="1"/>
  <c r="AH27" i="1"/>
  <c r="AJ27" i="1" s="1"/>
  <c r="AH23" i="1"/>
  <c r="AJ23" i="1" s="1"/>
  <c r="AH20" i="1"/>
  <c r="AJ20" i="1" s="1"/>
  <c r="AH17" i="1"/>
  <c r="AJ17" i="1" s="1"/>
  <c r="AH10" i="1"/>
  <c r="AJ10" i="1" s="1"/>
  <c r="AH26" i="1"/>
  <c r="AJ26" i="1" s="1"/>
  <c r="AH11" i="1"/>
  <c r="AJ11" i="1" s="1"/>
  <c r="AH8" i="1"/>
  <c r="AJ8" i="1" s="1"/>
  <c r="AH24" i="1"/>
  <c r="AJ24" i="1" s="1"/>
  <c r="AH21" i="1"/>
  <c r="AJ21" i="1" s="1"/>
  <c r="AH14" i="1"/>
  <c r="AJ14" i="1" s="1"/>
  <c r="AH15" i="1"/>
  <c r="AJ15" i="1" s="1"/>
  <c r="AH12" i="1"/>
  <c r="AJ12" i="1" s="1"/>
  <c r="AH9" i="1"/>
  <c r="AJ9" i="1" s="1"/>
  <c r="AH25" i="1"/>
  <c r="AJ25" i="1" s="1"/>
  <c r="AH18" i="1"/>
  <c r="AJ18" i="1" s="1"/>
  <c r="F22" i="1"/>
  <c r="C15" i="1"/>
  <c r="G15" i="1"/>
  <c r="C19" i="1"/>
  <c r="G19" i="1"/>
  <c r="C17" i="1"/>
  <c r="G17" i="1"/>
  <c r="C22" i="1"/>
  <c r="C18" i="1"/>
  <c r="G18" i="1"/>
  <c r="C21" i="1"/>
  <c r="G21" i="1"/>
  <c r="C20" i="1"/>
  <c r="G20" i="1"/>
  <c r="A24" i="1"/>
  <c r="B24" i="2" s="1"/>
  <c r="B23" i="1"/>
  <c r="C23" i="2" s="1"/>
  <c r="G22" i="1" l="1"/>
  <c r="A12" i="2"/>
  <c r="BC36" i="1"/>
  <c r="BC48" i="1"/>
  <c r="X51" i="1"/>
  <c r="AW51" i="1" s="1"/>
  <c r="AU51" i="1"/>
  <c r="X53" i="1"/>
  <c r="AW53" i="1" s="1"/>
  <c r="AU53" i="1"/>
  <c r="X52" i="1"/>
  <c r="AW52" i="1" s="1"/>
  <c r="AU52" i="1"/>
  <c r="X55" i="1"/>
  <c r="AW55" i="1" s="1"/>
  <c r="AU55" i="1"/>
  <c r="X39" i="1"/>
  <c r="AW39" i="1" s="1"/>
  <c r="AU39" i="1"/>
  <c r="AU54" i="1"/>
  <c r="X54" i="1"/>
  <c r="AW54" i="1" s="1"/>
  <c r="X48" i="1"/>
  <c r="AW48" i="1" s="1"/>
  <c r="AU48" i="1"/>
  <c r="AU50" i="1"/>
  <c r="X50" i="1"/>
  <c r="AW50" i="1" s="1"/>
  <c r="X47" i="1"/>
  <c r="AW47" i="1" s="1"/>
  <c r="AU47" i="1"/>
  <c r="X43" i="1"/>
  <c r="AW43" i="1" s="1"/>
  <c r="AU43" i="1"/>
  <c r="X40" i="1"/>
  <c r="AW40" i="1" s="1"/>
  <c r="AU40" i="1"/>
  <c r="AU42" i="1"/>
  <c r="X42" i="1"/>
  <c r="AW42" i="1" s="1"/>
  <c r="X37" i="1"/>
  <c r="AW37" i="1" s="1"/>
  <c r="AU37" i="1"/>
  <c r="X36" i="1"/>
  <c r="AW36" i="1" s="1"/>
  <c r="AU36" i="1"/>
  <c r="X49" i="1"/>
  <c r="AW49" i="1" s="1"/>
  <c r="AU49" i="1"/>
  <c r="X44" i="1"/>
  <c r="AW44" i="1" s="1"/>
  <c r="AU44" i="1"/>
  <c r="AU38" i="1"/>
  <c r="X38" i="1"/>
  <c r="AW38" i="1" s="1"/>
  <c r="X45" i="1"/>
  <c r="AW45" i="1" s="1"/>
  <c r="AU45" i="1"/>
  <c r="AU46" i="1"/>
  <c r="X46" i="1"/>
  <c r="AW46" i="1" s="1"/>
  <c r="X41" i="1"/>
  <c r="AW41" i="1" s="1"/>
  <c r="AU41" i="1"/>
  <c r="W18" i="1"/>
  <c r="AV18" i="1" s="1"/>
  <c r="AT18" i="1"/>
  <c r="W15" i="1"/>
  <c r="AV15" i="1" s="1"/>
  <c r="AT15" i="1"/>
  <c r="W27" i="1"/>
  <c r="AV27" i="1" s="1"/>
  <c r="AT27" i="1"/>
  <c r="W12" i="1"/>
  <c r="AV12" i="1" s="1"/>
  <c r="AT12" i="1"/>
  <c r="W24" i="1"/>
  <c r="AV24" i="1" s="1"/>
  <c r="AT24" i="1"/>
  <c r="W13" i="1"/>
  <c r="AV13" i="1" s="1"/>
  <c r="AT13" i="1"/>
  <c r="W16" i="1"/>
  <c r="AV16" i="1" s="1"/>
  <c r="AT16" i="1"/>
  <c r="W9" i="1"/>
  <c r="AV9" i="1" s="1"/>
  <c r="AT9" i="1"/>
  <c r="W21" i="1"/>
  <c r="AV21" i="1" s="1"/>
  <c r="AT21" i="1"/>
  <c r="W22" i="1"/>
  <c r="AV22" i="1" s="1"/>
  <c r="AT22" i="1"/>
  <c r="W26" i="1"/>
  <c r="AV26" i="1" s="1"/>
  <c r="AT26" i="1"/>
  <c r="W19" i="1"/>
  <c r="AV19" i="1" s="1"/>
  <c r="AT19" i="1"/>
  <c r="W25" i="1"/>
  <c r="AV25" i="1" s="1"/>
  <c r="AT25" i="1"/>
  <c r="W8" i="1"/>
  <c r="AV8" i="1" s="1"/>
  <c r="AT8" i="1"/>
  <c r="W10" i="1"/>
  <c r="AV10" i="1" s="1"/>
  <c r="AT10" i="1"/>
  <c r="W20" i="1"/>
  <c r="AV20" i="1" s="1"/>
  <c r="AT20" i="1"/>
  <c r="W11" i="1"/>
  <c r="AV11" i="1" s="1"/>
  <c r="AT11" i="1"/>
  <c r="W17" i="1"/>
  <c r="AV17" i="1" s="1"/>
  <c r="AT17" i="1"/>
  <c r="X7" i="1"/>
  <c r="AW7" i="1" s="1"/>
  <c r="AU7" i="1"/>
  <c r="W23" i="1"/>
  <c r="AV23" i="1" s="1"/>
  <c r="AT23" i="1"/>
  <c r="W14" i="1"/>
  <c r="AV14" i="1" s="1"/>
  <c r="AT14" i="1"/>
  <c r="F23" i="1"/>
  <c r="H23" i="1"/>
  <c r="I23" i="1" s="1"/>
  <c r="BC52" i="1" s="1"/>
  <c r="C23" i="1"/>
  <c r="A25" i="1"/>
  <c r="B25" i="2" s="1"/>
  <c r="B24" i="1"/>
  <c r="C24" i="2" s="1"/>
  <c r="G23" i="1" l="1"/>
  <c r="A13" i="2"/>
  <c r="K7" i="1"/>
  <c r="F24" i="1"/>
  <c r="H24" i="1"/>
  <c r="I24" i="1" s="1"/>
  <c r="BC53" i="1" s="1"/>
  <c r="C24" i="1"/>
  <c r="B25" i="1"/>
  <c r="C25" i="2" s="1"/>
  <c r="A26" i="1"/>
  <c r="A27" i="1" l="1"/>
  <c r="B27" i="2" s="1"/>
  <c r="B26" i="2"/>
  <c r="G24" i="1"/>
  <c r="K18" i="1"/>
  <c r="K9" i="1"/>
  <c r="L14" i="1"/>
  <c r="N14" i="1" s="1"/>
  <c r="N7" i="1"/>
  <c r="K10" i="1"/>
  <c r="K19" i="1"/>
  <c r="A14" i="2"/>
  <c r="H27" i="1"/>
  <c r="I27" i="1" s="1"/>
  <c r="L13" i="1"/>
  <c r="N13" i="1" s="1"/>
  <c r="K14" i="1"/>
  <c r="K16" i="1"/>
  <c r="L9" i="1"/>
  <c r="N9" i="1" s="1"/>
  <c r="K12" i="1"/>
  <c r="L11" i="1"/>
  <c r="N11" i="1" s="1"/>
  <c r="K8" i="1"/>
  <c r="K11" i="1"/>
  <c r="K13" i="1"/>
  <c r="F25" i="1"/>
  <c r="H25" i="1"/>
  <c r="I25" i="1" s="1"/>
  <c r="F27" i="1"/>
  <c r="B26" i="1"/>
  <c r="C26" i="2" s="1"/>
  <c r="C25" i="1"/>
  <c r="L17" i="1" l="1"/>
  <c r="N17" i="1" s="1"/>
  <c r="L8" i="1"/>
  <c r="N8" i="1" s="1"/>
  <c r="L18" i="1"/>
  <c r="N18" i="1" s="1"/>
  <c r="K15" i="1"/>
  <c r="L10" i="1"/>
  <c r="N10" i="1" s="1"/>
  <c r="L15" i="1"/>
  <c r="N15" i="1" s="1"/>
  <c r="K17" i="1"/>
  <c r="L16" i="1"/>
  <c r="N16" i="1" s="1"/>
  <c r="L20" i="1"/>
  <c r="N20" i="1" s="1"/>
  <c r="L19" i="1"/>
  <c r="N19" i="1" s="1"/>
  <c r="K20" i="1"/>
  <c r="K24" i="1"/>
  <c r="K23" i="1"/>
  <c r="K22" i="1"/>
  <c r="G25" i="1"/>
  <c r="L12" i="1"/>
  <c r="N12" i="1" s="1"/>
  <c r="A15" i="2"/>
  <c r="L21" i="1"/>
  <c r="N21" i="1" s="1"/>
  <c r="L22" i="1"/>
  <c r="N22" i="1" s="1"/>
  <c r="K21" i="1"/>
  <c r="BC54" i="1"/>
  <c r="B27" i="1"/>
  <c r="F26" i="1"/>
  <c r="H26" i="1"/>
  <c r="I26" i="1" s="1"/>
  <c r="C26" i="1"/>
  <c r="G27" i="1"/>
  <c r="L23" i="1" l="1"/>
  <c r="N23" i="1" s="1"/>
  <c r="G26" i="1"/>
  <c r="C27" i="1"/>
  <c r="C27" i="2"/>
  <c r="A16" i="2"/>
  <c r="BC55" i="1"/>
  <c r="L24" i="1" l="1"/>
  <c r="A17" i="2"/>
  <c r="K26" i="1"/>
  <c r="L27" i="1"/>
  <c r="K27" i="1"/>
  <c r="K25" i="1"/>
  <c r="N27" i="1" l="1"/>
  <c r="N24" i="1"/>
  <c r="L25" i="1"/>
  <c r="A18" i="2"/>
  <c r="N26" i="1"/>
  <c r="N25" i="1" l="1"/>
  <c r="A19" i="2"/>
  <c r="A20" i="2" l="1"/>
  <c r="A21" i="2" l="1"/>
  <c r="A22" i="2" l="1"/>
  <c r="A23" i="2" l="1"/>
  <c r="A24" i="2" l="1"/>
  <c r="A25" i="2" l="1"/>
  <c r="A26" i="2" l="1"/>
  <c r="A27" i="2" l="1"/>
</calcChain>
</file>

<file path=xl/comments1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BC2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3-4
</t>
        </r>
      </text>
    </comment>
    <comment ref="BC26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  <comment ref="BC27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21
</t>
        </r>
      </text>
    </comment>
    <comment ref="BC5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</commentList>
</comments>
</file>

<file path=xl/comments2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comments3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sharedStrings.xml><?xml version="1.0" encoding="utf-8"?>
<sst xmlns="http://schemas.openxmlformats.org/spreadsheetml/2006/main" count="158" uniqueCount="56">
  <si>
    <t>AR</t>
  </si>
  <si>
    <t>Cr</t>
  </si>
  <si>
    <t>b/2</t>
  </si>
  <si>
    <t>λ</t>
  </si>
  <si>
    <t>r = 1/λ</t>
  </si>
  <si>
    <t>X0</t>
  </si>
  <si>
    <t>m0</t>
  </si>
  <si>
    <t>d</t>
  </si>
  <si>
    <t>φ</t>
  </si>
  <si>
    <t>α_abs</t>
  </si>
  <si>
    <t>α_b</t>
  </si>
  <si>
    <t>α_w</t>
  </si>
  <si>
    <t>CL_α</t>
  </si>
  <si>
    <t>CL</t>
  </si>
  <si>
    <t>X</t>
  </si>
  <si>
    <t>X_p</t>
  </si>
  <si>
    <t>m</t>
  </si>
  <si>
    <t>m_P</t>
  </si>
  <si>
    <t>Φ</t>
  </si>
  <si>
    <t>ε</t>
  </si>
  <si>
    <t>dΦ/dα</t>
  </si>
  <si>
    <t>dε/dα</t>
  </si>
  <si>
    <t>α0_w</t>
  </si>
  <si>
    <t>iw</t>
  </si>
  <si>
    <t>x = 80</t>
  </si>
  <si>
    <t>r=1</t>
  </si>
  <si>
    <t>r=2</t>
  </si>
  <si>
    <t>m1</t>
  </si>
  <si>
    <t>m2</t>
  </si>
  <si>
    <t>m3</t>
  </si>
  <si>
    <t>m4</t>
  </si>
  <si>
    <t>r=1.57</t>
  </si>
  <si>
    <t>mTab</t>
  </si>
  <si>
    <t>m2meno</t>
  </si>
  <si>
    <t>m3meno</t>
  </si>
  <si>
    <t>m4meno</t>
  </si>
  <si>
    <t>x = 90</t>
  </si>
  <si>
    <t>Φ_3</t>
  </si>
  <si>
    <t>Φ_4</t>
  </si>
  <si>
    <t>Φ_1</t>
  </si>
  <si>
    <t>Φ_2</t>
  </si>
  <si>
    <t>Φ_90</t>
  </si>
  <si>
    <t>Φ_80</t>
  </si>
  <si>
    <t>Kε_Λ</t>
  </si>
  <si>
    <t>Colonna1</t>
  </si>
  <si>
    <t>Kε_Λ0</t>
  </si>
  <si>
    <t>dε/dα_k</t>
  </si>
  <si>
    <t>dε/dα_1</t>
  </si>
  <si>
    <t>dε/dα_2</t>
  </si>
  <si>
    <t>dε/dα_3</t>
  </si>
  <si>
    <t>K_A</t>
  </si>
  <si>
    <t>K_λ</t>
  </si>
  <si>
    <t>K_H</t>
  </si>
  <si>
    <t>Λ_c/4</t>
  </si>
  <si>
    <t>r (X/b/2)</t>
  </si>
  <si>
    <t>m (m/b/2)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</si>
</sst>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3" borderId="0" xfId="2"/>
    <xf numFmtId="0" fontId="0" fillId="3" borderId="0" xfId="2" applyFont="1"/>
    <xf numFmtId="0" fontId="1" fillId="4" borderId="0" xfId="3"/>
    <xf numFmtId="0" fontId="2" fillId="5" borderId="0" xfId="4" applyAlignment="1">
      <alignment horizontal="center"/>
    </xf>
    <xf numFmtId="0" fontId="3" fillId="5" borderId="0" xfId="4" applyFont="1"/>
    <xf numFmtId="0" fontId="3" fillId="3" borderId="0" xfId="2" applyFont="1"/>
    <xf numFmtId="0" fontId="2" fillId="2" borderId="0" xfId="1" applyAlignment="1">
      <alignment horizontal="center"/>
    </xf>
    <xf numFmtId="0" fontId="2" fillId="5" borderId="0" xfId="4" applyAlignment="1">
      <alignment horizontal="center"/>
    </xf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8" fillId="7" borderId="1" xfId="0" applyFont="1" applyFill="1" applyBorder="1"/>
    <xf numFmtId="0" fontId="8" fillId="7" borderId="2" xfId="0" applyFont="1" applyFill="1" applyBorder="1"/>
  </cellXfs>
  <cellStyles count="5">
    <cellStyle name="20% - Colore 1" xfId="2" builtinId="30"/>
    <cellStyle name="40% - Colore 1" xfId="3" builtinId="31"/>
    <cellStyle name="60% - Colore 1" xfId="4" builtinId="32"/>
    <cellStyle name="Colore 1" xfId="1" builtinId="29"/>
    <cellStyle name="Normale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 (α_a)</c:v>
          </c:tx>
          <c:val>
            <c:numRef>
              <c:f>Giordano!$M$7:$M$25</c:f>
              <c:numCache>
                <c:formatCode>General</c:formatCode>
                <c:ptCount val="19"/>
                <c:pt idx="0">
                  <c:v>0.22655001596372387</c:v>
                </c:pt>
                <c:pt idx="1">
                  <c:v>0.23286994543776071</c:v>
                </c:pt>
                <c:pt idx="2">
                  <c:v>0.23926770910162115</c:v>
                </c:pt>
                <c:pt idx="3">
                  <c:v>0.24573791845585397</c:v>
                </c:pt>
                <c:pt idx="4">
                  <c:v>0.25227514749572488</c:v>
                </c:pt>
                <c:pt idx="5">
                  <c:v>0.25887393518644225</c:v>
                </c:pt>
                <c:pt idx="6">
                  <c:v>0.26552878795398371</c:v>
                </c:pt>
                <c:pt idx="7">
                  <c:v>0.27223418227426305</c:v>
                </c:pt>
                <c:pt idx="8">
                  <c:v>0.27898458078661209</c:v>
                </c:pt>
                <c:pt idx="9">
                  <c:v>0.28574816564590844</c:v>
                </c:pt>
                <c:pt idx="10">
                  <c:v>0.29243391574571787</c:v>
                </c:pt>
                <c:pt idx="11">
                  <c:v>0.3021095835351254</c:v>
                </c:pt>
                <c:pt idx="12">
                  <c:v>0.30941023491118952</c:v>
                </c:pt>
                <c:pt idx="13">
                  <c:v>0.30526218596978022</c:v>
                </c:pt>
                <c:pt idx="14">
                  <c:v>0.28913241559493169</c:v>
                </c:pt>
                <c:pt idx="15">
                  <c:v>0.26037281579075644</c:v>
                </c:pt>
                <c:pt idx="16">
                  <c:v>0.21814783177944053</c:v>
                </c:pt>
                <c:pt idx="17">
                  <c:v>0.16138221777333633</c:v>
                </c:pt>
                <c:pt idx="18">
                  <c:v>8.6515515763857465E-2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4368"/>
        <c:axId val="171146560"/>
      </c:lineChart>
      <c:catAx>
        <c:axId val="1983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46560"/>
        <c:crosses val="autoZero"/>
        <c:auto val="1"/>
        <c:lblAlgn val="ctr"/>
        <c:lblOffset val="100"/>
        <c:noMultiLvlLbl val="0"/>
      </c:catAx>
      <c:valAx>
        <c:axId val="1711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ε/</a:t>
            </a: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α</a:t>
            </a:r>
            <a:r>
              <a:rPr lang="it-IT" sz="1800" b="1" i="0" baseline="0">
                <a:effectLst/>
              </a:rPr>
              <a:t> Comparison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Giordano</c:v>
          </c:tx>
          <c:val>
            <c:numRef>
              <c:f>Giordano!$M$7:$M$26</c:f>
              <c:numCache>
                <c:formatCode>General</c:formatCode>
                <c:ptCount val="20"/>
                <c:pt idx="0">
                  <c:v>0.22655001596372387</c:v>
                </c:pt>
                <c:pt idx="1">
                  <c:v>0.23286994543776071</c:v>
                </c:pt>
                <c:pt idx="2">
                  <c:v>0.23926770910162115</c:v>
                </c:pt>
                <c:pt idx="3">
                  <c:v>0.24573791845585397</c:v>
                </c:pt>
                <c:pt idx="4">
                  <c:v>0.25227514749572488</c:v>
                </c:pt>
                <c:pt idx="5">
                  <c:v>0.25887393518644225</c:v>
                </c:pt>
                <c:pt idx="6">
                  <c:v>0.26552878795398371</c:v>
                </c:pt>
                <c:pt idx="7">
                  <c:v>0.27223418227426305</c:v>
                </c:pt>
                <c:pt idx="8">
                  <c:v>0.27898458078661209</c:v>
                </c:pt>
                <c:pt idx="9">
                  <c:v>0.28574816564590844</c:v>
                </c:pt>
                <c:pt idx="10">
                  <c:v>0.29243391574571787</c:v>
                </c:pt>
                <c:pt idx="11">
                  <c:v>0.3021095835351254</c:v>
                </c:pt>
                <c:pt idx="12">
                  <c:v>0.30941023491118952</c:v>
                </c:pt>
                <c:pt idx="13">
                  <c:v>0.30526218596978022</c:v>
                </c:pt>
                <c:pt idx="14">
                  <c:v>0.28913241559493169</c:v>
                </c:pt>
                <c:pt idx="15">
                  <c:v>0.26037281579075644</c:v>
                </c:pt>
                <c:pt idx="16">
                  <c:v>0.21814783177944053</c:v>
                </c:pt>
                <c:pt idx="17">
                  <c:v>0.16138221777333633</c:v>
                </c:pt>
                <c:pt idx="18">
                  <c:v>8.6515515763857465E-2</c:v>
                </c:pt>
                <c:pt idx="19">
                  <c:v>-2.2558556826546547E-2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648"/>
        <c:axId val="140154496"/>
      </c:lineChart>
      <c:catAx>
        <c:axId val="1480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u="none" strike="noStrike" baseline="0" smtClean="0"/>
                  <a:t>α</a:t>
                </a:r>
                <a:r>
                  <a:rPr lang="it-IT" sz="1800" b="1" i="0" u="none" strike="noStrike" baseline="0" smtClean="0"/>
                  <a:t>_a (deg)</a:t>
                </a:r>
              </a:p>
            </c:rich>
          </c:tx>
          <c:layout>
            <c:manualLayout>
              <c:xMode val="edge"/>
              <c:yMode val="edge"/>
              <c:x val="0.39925947543775658"/>
              <c:y val="0.86844717161299489"/>
            </c:manualLayout>
          </c:layout>
          <c:overlay val="0"/>
        </c:title>
        <c:majorTickMark val="out"/>
        <c:minorTickMark val="none"/>
        <c:tickLblPos val="nextTo"/>
        <c:crossAx val="140154496"/>
        <c:crosses val="autoZero"/>
        <c:auto val="1"/>
        <c:lblAlgn val="ctr"/>
        <c:lblOffset val="100"/>
        <c:noMultiLvlLbl val="0"/>
      </c:catAx>
      <c:valAx>
        <c:axId val="1401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ε</a:t>
            </a:r>
            <a:r>
              <a:rPr lang="it-IT" sz="1800" b="1" i="0" baseline="0">
                <a:effectLst/>
              </a:rPr>
              <a:t>(</a:t>
            </a:r>
            <a:r>
              <a:rPr lang="el-GR" sz="1800" b="1" i="0" u="none" strike="noStrike" baseline="0" smtClean="0"/>
              <a:t>α</a:t>
            </a:r>
            <a:r>
              <a:rPr lang="it-IT" sz="1800" b="1" i="0" u="none" strike="noStrike" baseline="0" smtClean="0"/>
              <a:t>_a)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Giordano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0.23286994543776071</c:v>
                </c:pt>
                <c:pt idx="2">
                  <c:v>0.4785354182032423</c:v>
                </c:pt>
                <c:pt idx="3">
                  <c:v>0.73721375536756195</c:v>
                </c:pt>
                <c:pt idx="4">
                  <c:v>1.0091005899828995</c:v>
                </c:pt>
                <c:pt idx="5">
                  <c:v>1.2943696759322112</c:v>
                </c:pt>
                <c:pt idx="6">
                  <c:v>1.5931727277239023</c:v>
                </c:pt>
                <c:pt idx="7">
                  <c:v>1.9056392759198413</c:v>
                </c:pt>
                <c:pt idx="8">
                  <c:v>2.2318766462928967</c:v>
                </c:pt>
                <c:pt idx="9">
                  <c:v>2.5717334908131759</c:v>
                </c:pt>
                <c:pt idx="10">
                  <c:v>2.9243391574571787</c:v>
                </c:pt>
                <c:pt idx="11">
                  <c:v>3.3232054188863795</c:v>
                </c:pt>
                <c:pt idx="12">
                  <c:v>3.712922818934274</c:v>
                </c:pt>
                <c:pt idx="13">
                  <c:v>3.9684084176071428</c:v>
                </c:pt>
                <c:pt idx="14">
                  <c:v>4.0478538183290436</c:v>
                </c:pt>
                <c:pt idx="15">
                  <c:v>3.9055922368613465</c:v>
                </c:pt>
                <c:pt idx="16">
                  <c:v>3.4903653084710484</c:v>
                </c:pt>
                <c:pt idx="17">
                  <c:v>2.7434977021467177</c:v>
                </c:pt>
                <c:pt idx="18">
                  <c:v>1.5572792837494345</c:v>
                </c:pt>
                <c:pt idx="19">
                  <c:v>-0.42861257970438438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0.23769520799969651</c:v>
                </c:pt>
                <c:pt idx="2">
                  <c:v>0.48203562015013174</c:v>
                </c:pt>
                <c:pt idx="3">
                  <c:v>0.73303631404664871</c:v>
                </c:pt>
                <c:pt idx="4">
                  <c:v>0.99070229458888182</c:v>
                </c:pt>
                <c:pt idx="5">
                  <c:v>1.2550285042743323</c:v>
                </c:pt>
                <c:pt idx="6">
                  <c:v>1.5259999014734875</c:v>
                </c:pt>
                <c:pt idx="7">
                  <c:v>1.8035916031207266</c:v>
                </c:pt>
                <c:pt idx="8">
                  <c:v>2.0876782749220535</c:v>
                </c:pt>
                <c:pt idx="9">
                  <c:v>2.3769780310579827</c:v>
                </c:pt>
                <c:pt idx="10">
                  <c:v>2.6788806944964776</c:v>
                </c:pt>
                <c:pt idx="11">
                  <c:v>3.025626424367605</c:v>
                </c:pt>
                <c:pt idx="12">
                  <c:v>3.3599817781772234</c:v>
                </c:pt>
                <c:pt idx="13">
                  <c:v>3.550133267369993</c:v>
                </c:pt>
                <c:pt idx="14">
                  <c:v>3.5474068860984622</c:v>
                </c:pt>
                <c:pt idx="15">
                  <c:v>3.2918499435909898</c:v>
                </c:pt>
                <c:pt idx="16">
                  <c:v>2.706094024786859</c:v>
                </c:pt>
                <c:pt idx="17">
                  <c:v>1.6353267292862048</c:v>
                </c:pt>
                <c:pt idx="18">
                  <c:v>9.6749657392804556E-2</c:v>
                </c:pt>
                <c:pt idx="19">
                  <c:v>-1.8916589908734367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Roskam!$L$6:$L$25</c:f>
              <c:numCache>
                <c:formatCode>General</c:formatCode>
                <c:ptCount val="20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3872"/>
        <c:axId val="141890048"/>
      </c:lineChart>
      <c:catAx>
        <c:axId val="1441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 (deg)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1890048"/>
        <c:crosses val="autoZero"/>
        <c:auto val="1"/>
        <c:lblAlgn val="ctr"/>
        <c:lblOffset val="100"/>
        <c:noMultiLvlLbl val="0"/>
      </c:catAx>
      <c:valAx>
        <c:axId val="1418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0.26169658966204845</c:v>
                </c:pt>
                <c:pt idx="1">
                  <c:v>0.49137682603625976</c:v>
                </c:pt>
                <c:pt idx="2">
                  <c:v>0.72740435320603358</c:v>
                </c:pt>
                <c:pt idx="3">
                  <c:v>0.9698556665069914</c:v>
                </c:pt>
                <c:pt idx="4">
                  <c:v>1.2188018648497776</c:v>
                </c:pt>
                <c:pt idx="5">
                  <c:v>1.474308613624947</c:v>
                </c:pt>
                <c:pt idx="6">
                  <c:v>1.7364361100853176</c:v>
                </c:pt>
                <c:pt idx="7">
                  <c:v>2.0052390512078233</c:v>
                </c:pt>
                <c:pt idx="8">
                  <c:v>2.2807666020495736</c:v>
                </c:pt>
                <c:pt idx="9">
                  <c:v>2.5630620752536322</c:v>
                </c:pt>
                <c:pt idx="10">
                  <c:v>2.8526650303157401</c:v>
                </c:pt>
                <c:pt idx="11">
                  <c:v>3.1513998528431717</c:v>
                </c:pt>
                <c:pt idx="12">
                  <c:v>3.4501707619827386</c:v>
                </c:pt>
                <c:pt idx="13">
                  <c:v>3.737346392247209</c:v>
                </c:pt>
                <c:pt idx="14">
                  <c:v>4.0008207610020614</c:v>
                </c:pt>
                <c:pt idx="15">
                  <c:v>4.2278976266645323</c:v>
                </c:pt>
                <c:pt idx="16">
                  <c:v>4.4051231875751782</c:v>
                </c:pt>
                <c:pt idx="17">
                  <c:v>4.5180671085432493</c:v>
                </c:pt>
                <c:pt idx="18">
                  <c:v>4.5510576816214252</c:v>
                </c:pt>
                <c:pt idx="19">
                  <c:v>4.5172341741519597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4880"/>
        <c:axId val="196813952"/>
      </c:lineChart>
      <c:catAx>
        <c:axId val="1983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813952"/>
        <c:crosses val="autoZero"/>
        <c:auto val="1"/>
        <c:lblAlgn val="ctr"/>
        <c:lblOffset val="100"/>
        <c:noMultiLvlLbl val="0"/>
      </c:catAx>
      <c:valAx>
        <c:axId val="1968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9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</c:v>
          </c:tx>
          <c:val>
            <c:numRef>
              <c:f>Giordano!$E$7:$E$27</c:f>
              <c:numCache>
                <c:formatCode>General</c:formatCode>
                <c:ptCount val="21"/>
                <c:pt idx="0">
                  <c:v>0.115402510819653</c:v>
                </c:pt>
                <c:pt idx="1">
                  <c:v>0.21368534516743501</c:v>
                </c:pt>
                <c:pt idx="2">
                  <c:v>0.31196817951521699</c:v>
                </c:pt>
                <c:pt idx="3">
                  <c:v>0.410251013862999</c:v>
                </c:pt>
                <c:pt idx="4">
                  <c:v>0.50853384821078196</c:v>
                </c:pt>
                <c:pt idx="5">
                  <c:v>0.60681668255856303</c:v>
                </c:pt>
                <c:pt idx="6">
                  <c:v>0.70509951690631101</c:v>
                </c:pt>
                <c:pt idx="7">
                  <c:v>0.80338235124850899</c:v>
                </c:pt>
                <c:pt idx="8">
                  <c:v>0.90166518473535795</c:v>
                </c:pt>
                <c:pt idx="9">
                  <c:v>0.99994789521852601</c:v>
                </c:pt>
                <c:pt idx="10">
                  <c:v>1.0984346730599399</c:v>
                </c:pt>
                <c:pt idx="11">
                  <c:v>1.19784355761298</c:v>
                </c:pt>
                <c:pt idx="12">
                  <c:v>1.29450022632146</c:v>
                </c:pt>
                <c:pt idx="13">
                  <c:v>1.38385770413853</c:v>
                </c:pt>
                <c:pt idx="14">
                  <c:v>1.4613690340788399</c:v>
                </c:pt>
                <c:pt idx="15">
                  <c:v>1.52248725921424</c:v>
                </c:pt>
                <c:pt idx="16">
                  <c:v>1.5626654226636201</c:v>
                </c:pt>
                <c:pt idx="17">
                  <c:v>1.57735657790398</c:v>
                </c:pt>
                <c:pt idx="18">
                  <c:v>1.5620159470931601</c:v>
                </c:pt>
                <c:pt idx="19">
                  <c:v>1.52305821961917</c:v>
                </c:pt>
                <c:pt idx="20">
                  <c:v>1.52305821961917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5392"/>
        <c:axId val="196815680"/>
      </c:lineChart>
      <c:catAx>
        <c:axId val="1983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815680"/>
        <c:crosses val="autoZero"/>
        <c:auto val="1"/>
        <c:lblAlgn val="ctr"/>
        <c:lblOffset val="100"/>
        <c:noMultiLvlLbl val="0"/>
      </c:catAx>
      <c:valAx>
        <c:axId val="196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Distanza m (metri)</c:v>
          </c:tx>
          <c:val>
            <c:numRef>
              <c:f>Giordano!$H$7:$H$26</c:f>
              <c:numCache>
                <c:formatCode>General</c:formatCode>
                <c:ptCount val="20"/>
                <c:pt idx="0">
                  <c:v>4.4337679290079439</c:v>
                </c:pt>
                <c:pt idx="1">
                  <c:v>4.2281617210034952</c:v>
                </c:pt>
                <c:pt idx="2">
                  <c:v>4.0212677636966907</c:v>
                </c:pt>
                <c:pt idx="3">
                  <c:v>3.8131490697078543</c:v>
                </c:pt>
                <c:pt idx="4">
                  <c:v>3.603869024669009</c:v>
                </c:pt>
                <c:pt idx="5">
                  <c:v>3.3934913679188523</c:v>
                </c:pt>
                <c:pt idx="6">
                  <c:v>3.1820801730899899</c:v>
                </c:pt>
                <c:pt idx="7">
                  <c:v>2.9696998285943637</c:v>
                </c:pt>
                <c:pt idx="8">
                  <c:v>2.7564150180128082</c:v>
                </c:pt>
                <c:pt idx="9">
                  <c:v>2.542290700394704</c:v>
                </c:pt>
                <c:pt idx="10">
                  <c:v>2.3273920904737415</c:v>
                </c:pt>
                <c:pt idx="11">
                  <c:v>2.1117846388058026</c:v>
                </c:pt>
                <c:pt idx="12">
                  <c:v>1.8955340118350281</c:v>
                </c:pt>
                <c:pt idx="13">
                  <c:v>1.6787060718941269</c:v>
                </c:pt>
                <c:pt idx="14">
                  <c:v>1.4613668571450267</c:v>
                </c:pt>
                <c:pt idx="15">
                  <c:v>1.2435825614659741</c:v>
                </c:pt>
                <c:pt idx="16">
                  <c:v>1.0254195142912084</c:v>
                </c:pt>
                <c:pt idx="17">
                  <c:v>0.80694416040934802</c:v>
                </c:pt>
                <c:pt idx="18">
                  <c:v>0.58822303972664769</c:v>
                </c:pt>
                <c:pt idx="19">
                  <c:v>0.36932276700128197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5904"/>
        <c:axId val="196817408"/>
      </c:lineChart>
      <c:catAx>
        <c:axId val="1983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96817408"/>
        <c:crosses val="autoZero"/>
        <c:auto val="1"/>
        <c:lblAlgn val="ctr"/>
        <c:lblOffset val="100"/>
        <c:noMultiLvlLbl val="0"/>
      </c:catAx>
      <c:valAx>
        <c:axId val="1968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0.23286994543776071</c:v>
                </c:pt>
                <c:pt idx="2">
                  <c:v>0.4785354182032423</c:v>
                </c:pt>
                <c:pt idx="3">
                  <c:v>0.73721375536756195</c:v>
                </c:pt>
                <c:pt idx="4">
                  <c:v>1.0091005899828995</c:v>
                </c:pt>
                <c:pt idx="5">
                  <c:v>1.2943696759322112</c:v>
                </c:pt>
                <c:pt idx="6">
                  <c:v>1.5931727277239023</c:v>
                </c:pt>
                <c:pt idx="7">
                  <c:v>1.9056392759198413</c:v>
                </c:pt>
                <c:pt idx="8">
                  <c:v>2.2318766462928967</c:v>
                </c:pt>
                <c:pt idx="9">
                  <c:v>2.5717334908131759</c:v>
                </c:pt>
                <c:pt idx="10">
                  <c:v>2.9243391574571787</c:v>
                </c:pt>
                <c:pt idx="11">
                  <c:v>3.3232054188863795</c:v>
                </c:pt>
                <c:pt idx="12">
                  <c:v>3.712922818934274</c:v>
                </c:pt>
                <c:pt idx="13">
                  <c:v>3.9684084176071428</c:v>
                </c:pt>
                <c:pt idx="14">
                  <c:v>4.0478538183290436</c:v>
                </c:pt>
                <c:pt idx="15">
                  <c:v>3.9055922368613465</c:v>
                </c:pt>
                <c:pt idx="16">
                  <c:v>3.4903653084710484</c:v>
                </c:pt>
                <c:pt idx="17">
                  <c:v>2.7434977021467177</c:v>
                </c:pt>
                <c:pt idx="18">
                  <c:v>1.5572792837494345</c:v>
                </c:pt>
                <c:pt idx="19">
                  <c:v>-0.42861257970438438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6896"/>
        <c:axId val="210538432"/>
      </c:lineChart>
      <c:catAx>
        <c:axId val="1494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8432"/>
        <c:crosses val="autoZero"/>
        <c:auto val="1"/>
        <c:lblAlgn val="ctr"/>
        <c:lblOffset val="100"/>
        <c:noMultiLvlLbl val="0"/>
      </c:catAx>
      <c:valAx>
        <c:axId val="2105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272"/>
        <c:axId val="126348096"/>
      </c:lineChart>
      <c:catAx>
        <c:axId val="1285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48096"/>
        <c:crosses val="autoZero"/>
        <c:auto val="1"/>
        <c:lblAlgn val="ctr"/>
        <c:lblOffset val="100"/>
        <c:noMultiLvlLbl val="0"/>
      </c:catAx>
      <c:valAx>
        <c:axId val="1263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0.23769520799969651</c:v>
                </c:pt>
                <c:pt idx="2">
                  <c:v>0.48203562015013174</c:v>
                </c:pt>
                <c:pt idx="3">
                  <c:v>0.73303631404664871</c:v>
                </c:pt>
                <c:pt idx="4">
                  <c:v>0.99070229458888182</c:v>
                </c:pt>
                <c:pt idx="5">
                  <c:v>1.2550285042743323</c:v>
                </c:pt>
                <c:pt idx="6">
                  <c:v>1.5259999014734875</c:v>
                </c:pt>
                <c:pt idx="7">
                  <c:v>1.8035916031207266</c:v>
                </c:pt>
                <c:pt idx="8">
                  <c:v>2.0876782749220535</c:v>
                </c:pt>
                <c:pt idx="9">
                  <c:v>2.3769780310579827</c:v>
                </c:pt>
                <c:pt idx="10">
                  <c:v>2.6788806944964776</c:v>
                </c:pt>
                <c:pt idx="11">
                  <c:v>3.025626424367605</c:v>
                </c:pt>
                <c:pt idx="12">
                  <c:v>3.3599817781772234</c:v>
                </c:pt>
                <c:pt idx="13">
                  <c:v>3.550133267369993</c:v>
                </c:pt>
                <c:pt idx="14">
                  <c:v>3.5474068860984622</c:v>
                </c:pt>
                <c:pt idx="15">
                  <c:v>3.2918499435909898</c:v>
                </c:pt>
                <c:pt idx="16">
                  <c:v>2.706094024786859</c:v>
                </c:pt>
                <c:pt idx="17">
                  <c:v>1.6353267292862048</c:v>
                </c:pt>
                <c:pt idx="18">
                  <c:v>9.6749657392804556E-2</c:v>
                </c:pt>
                <c:pt idx="19">
                  <c:v>-1.8916589908734367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36192"/>
        <c:axId val="199804032"/>
      </c:lineChart>
      <c:catAx>
        <c:axId val="1265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04032"/>
        <c:crosses val="autoZero"/>
        <c:auto val="1"/>
        <c:lblAlgn val="ctr"/>
        <c:lblOffset val="100"/>
        <c:noMultiLvlLbl val="0"/>
      </c:catAx>
      <c:valAx>
        <c:axId val="1998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34144"/>
        <c:axId val="8128768"/>
      </c:lineChart>
      <c:catAx>
        <c:axId val="1265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128768"/>
        <c:crosses val="autoZero"/>
        <c:auto val="1"/>
        <c:lblAlgn val="ctr"/>
        <c:lblOffset val="100"/>
        <c:noMultiLvlLbl val="0"/>
      </c:catAx>
      <c:valAx>
        <c:axId val="81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Roskam!$L$6:$L$26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  <c:pt idx="20">
                  <c:v>5.1953015678945436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4368"/>
        <c:axId val="140150464"/>
      </c:lineChart>
      <c:catAx>
        <c:axId val="1484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50464"/>
        <c:crosses val="autoZero"/>
        <c:auto val="1"/>
        <c:lblAlgn val="ctr"/>
        <c:lblOffset val="100"/>
        <c:noMultiLvlLbl val="0"/>
      </c:catAx>
      <c:valAx>
        <c:axId val="1401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7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421480</xdr:colOff>
      <xdr:row>36</xdr:row>
      <xdr:rowOff>14287</xdr:rowOff>
    </xdr:from>
    <xdr:to>
      <xdr:col>6</xdr:col>
      <xdr:colOff>707230</xdr:colOff>
      <xdr:row>53</xdr:row>
      <xdr:rowOff>33336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278605</xdr:colOff>
      <xdr:row>36</xdr:row>
      <xdr:rowOff>23812</xdr:rowOff>
    </xdr:from>
    <xdr:to>
      <xdr:col>13</xdr:col>
      <xdr:colOff>278605</xdr:colOff>
      <xdr:row>53</xdr:row>
      <xdr:rowOff>33337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373854</xdr:colOff>
      <xdr:row>55</xdr:row>
      <xdr:rowOff>14286</xdr:rowOff>
    </xdr:from>
    <xdr:to>
      <xdr:col>6</xdr:col>
      <xdr:colOff>381000</xdr:colOff>
      <xdr:row>74</xdr:row>
      <xdr:rowOff>33337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54</xdr:row>
      <xdr:rowOff>161924</xdr:rowOff>
    </xdr:from>
    <xdr:to>
      <xdr:col>14</xdr:col>
      <xdr:colOff>76200</xdr:colOff>
      <xdr:row>72</xdr:row>
      <xdr:rowOff>4762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306500</xdr:colOff>
      <xdr:row>75</xdr:row>
      <xdr:rowOff>26534</xdr:rowOff>
    </xdr:from>
    <xdr:to>
      <xdr:col>6</xdr:col>
      <xdr:colOff>597692</xdr:colOff>
      <xdr:row>90</xdr:row>
      <xdr:rowOff>57829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28</xdr:row>
      <xdr:rowOff>176212</xdr:rowOff>
    </xdr:from>
    <xdr:to>
      <xdr:col>7</xdr:col>
      <xdr:colOff>40480</xdr:colOff>
      <xdr:row>44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426244</xdr:colOff>
      <xdr:row>28</xdr:row>
      <xdr:rowOff>166687</xdr:rowOff>
    </xdr:from>
    <xdr:to>
      <xdr:col>13</xdr:col>
      <xdr:colOff>607219</xdr:colOff>
      <xdr:row>44</xdr:row>
      <xdr:rowOff>14287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27</xdr:row>
      <xdr:rowOff>171450</xdr:rowOff>
    </xdr:from>
    <xdr:to>
      <xdr:col>8</xdr:col>
      <xdr:colOff>54768</xdr:colOff>
      <xdr:row>43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259555</xdr:colOff>
      <xdr:row>28</xdr:row>
      <xdr:rowOff>4763</xdr:rowOff>
    </xdr:from>
    <xdr:to>
      <xdr:col>15</xdr:col>
      <xdr:colOff>297655</xdr:colOff>
      <xdr:row>43</xdr:row>
      <xdr:rowOff>33338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</xdr:row>
      <xdr:rowOff>71436</xdr:rowOff>
    </xdr:from>
    <xdr:to>
      <xdr:col>8</xdr:col>
      <xdr:colOff>623888</xdr:colOff>
      <xdr:row>20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447676</xdr:colOff>
      <xdr:row>2</xdr:row>
      <xdr:rowOff>95250</xdr:rowOff>
    </xdr:from>
    <xdr:to>
      <xdr:col>17</xdr:col>
      <xdr:colOff>247650</xdr:colOff>
      <xdr:row>21</xdr:row>
      <xdr:rowOff>4763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65">
      <calculatedColumnFormula xml:space="preserve"> SQRT(I2^2 + (H2-0.75*B2)^2)</calculatedColumnFormula>
    </tableColumn>
    <tableColumn id="9" name="φ" dataDxfId="64">
      <calculatedColumnFormula>ATAN((Tabella2[[#This Row],[m0]]/(Tabella2[[#This Row],[X0]]-0.75*Tabella2[[#This Row],[Cr]])))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a1" displayName="Tabella1" ref="AQ6:BA27" totalsRowShown="0" headerRowDxfId="15" headerRowCellStyle="20% - Colore 1">
  <autoFilter ref="AQ6:BA27"/>
  <tableColumns count="11">
    <tableColumn id="1" name="m1">
      <calculatedColumnFormula>Tabella9[[#This Row],[m1]]+(Tabella11[[#This Row],[m1]]-Tabella9[[#This Row],[m1]])*((Tabella2[r = 1/λ]-1)/(2-1))</calculatedColumnFormula>
    </tableColumn>
    <tableColumn id="2" name="m2">
      <calculatedColumnFormula>Tabella9[[#This Row],[m2]]+(Tabella11[[#This Row],[m2]]-Tabella9[[#This Row],[m2]])*((Tabella2[r = 1/λ]-1)/(2-1))</calculatedColumnFormula>
    </tableColumn>
    <tableColumn id="3" name="m2meno">
      <calculatedColumnFormula>Tabella9[[#This Row],[m2meno]]+(Tabella11[[#This Row],[m2meno]]-Tabella9[[#This Row],[m2meno]])*((Tabella2[r = 1/λ]-1)/(2-1))</calculatedColumnFormula>
    </tableColumn>
    <tableColumn id="4" name="m3">
      <calculatedColumnFormula>Tabella9[[#This Row],[m3]]+(Tabella11[[#This Row],[m3]]-Tabella9[[#This Row],[m3]])*((Tabella2[r = 1/λ]-1)/(2-1))</calculatedColumnFormula>
    </tableColumn>
    <tableColumn id="5" name="m3meno">
      <calculatedColumnFormula>Tabella9[[#This Row],[m3meno]]+(Tabella11[[#This Row],[m3meno]]-Tabella9[[#This Row],[m3meno]])*((Tabella2[r = 1/λ]-1)/(2-1))</calculatedColumnFormula>
    </tableColumn>
    <tableColumn id="6" name="m4">
      <calculatedColumnFormula>Tabella9[[#This Row],[m4]]+(Tabella11[[#This Row],[m4]]-Tabella9[[#This Row],[m4]])*((Tabella2[r = 1/λ]-1)/(2-1))</calculatedColumnFormula>
    </tableColumn>
    <tableColumn id="7" name="m4meno">
      <calculatedColumnFormula>Tabella9[[#This Row],[m4meno]]+(Tabella11[[#This Row],[m4meno]]-Tabella9[[#This Row],[m4meno]])*((Tabella2[r = 1/λ]-1)/(2-1))</calculatedColumnFormula>
    </tableColumn>
    <tableColumn id="8" name="Φ_1" dataDxfId="19">
      <calculatedColumnFormula>Tabella9[[#This Row],[Φ_1]]+(Tabella11[[#This Row],[Φ_1]]-Tabella9[[#This Row],[Φ_1]])*((Tabella2[r = 1/λ]-1)/(2-1))</calculatedColumnFormula>
    </tableColumn>
    <tableColumn id="9" name="Φ_2" dataDxfId="18">
      <calculatedColumnFormula>Tabella9[[#This Row],[Φ_2]]+(Tabella11[[#This Row],[Φ_2]]-Tabella9[[#This Row],[Φ_2]])*((Tabella2[r = 1/λ]-1)/(2-1))</calculatedColumnFormula>
    </tableColumn>
    <tableColumn id="10" name="Φ_3" dataDxfId="17">
      <calculatedColumnFormula>Tabella9[[#This Row],[Φ_3]]+(Tabella11[[#This Row],[Φ_3]]-Tabella9[[#This Row],[Φ_3]])*((Tabella2[r = 1/λ]-1)/(2-1))</calculatedColumnFormula>
    </tableColumn>
    <tableColumn id="11" name="Φ_4" dataDxfId="16">
      <calculatedColumnFormula>Tabella9[[#This Row],[Φ_4]]+(Tabella11[[#This Row],[Φ_4]]-Tabella9[[#This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ella224" displayName="Tabella224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24">
      <calculatedColumnFormula xml:space="preserve"> SQRT(J2^2 + (I2-0.75*B2)^2)</calculatedColumnFormula>
    </tableColumn>
    <tableColumn id="9" name="φ" dataDxfId="23">
      <calculatedColumnFormula>ATAN((Tabella224[[#This Row],[m0]]/(Tabella224[[#This Row],[X0]]-0.75*Tabella224[[#This Row],[Cr]])))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la24" displayName="Tabella24" ref="A6:Q27" totalsRowShown="0" headerRowCellStyle="Colore 1" dataCellStyle="Colore 1">
  <autoFilter ref="A6:Q27"/>
  <tableColumns count="17">
    <tableColumn id="1" name="α_abs">
      <calculatedColumnFormula>A6+1</calculatedColumnFormula>
    </tableColumn>
    <tableColumn id="2" name="α_b" dataDxfId="22">
      <calculatedColumnFormula>Tabella3[[#This Row],[α_abs]]+Tabella224[α0_w]*57.3-Tabella224[iw]*57.3</calculatedColumnFormula>
    </tableColumn>
    <tableColumn id="3" name="α_w" dataDxfId="21">
      <calculatedColumnFormula>Tabella3[[#This Row],[α_b]]+Tabella224[iw]*57.3</calculatedColumnFormula>
    </tableColumn>
    <tableColumn id="4" name="CL_α"/>
    <tableColumn id="5" name="CL"/>
    <tableColumn id="14" name="X" dataDxfId="14"/>
    <tableColumn id="8" name="m" dataDxfId="20"/>
    <tableColumn id="6" name="r (X/b/2)" dataDxfId="13">
      <calculatedColumnFormula>Tabella24[[#This Row],[X]]/Tabella224[b/2]</calculatedColumnFormula>
    </tableColumn>
    <tableColumn id="7" name="m (m/b/2)" dataDxfId="12">
      <calculatedColumnFormula>Tabella24[[#This Row],[m]]/Tabella224[b/2]</calculatedColumnFormula>
    </tableColumn>
    <tableColumn id="11" name="Kε_Λ" dataDxfId="11">
      <calculatedColumnFormula>((0.1124 + 0.1265 * Tabella224[Λ_c/4] + 0.1766 * Tabella224[Λ_c/4]^2)/Tabella24[[#This Row],[r (X/b/2)]]^2) + (0.1024/Tabella24[[#This Row],[r (X/b/2)]]) +2</calculatedColumnFormula>
    </tableColumn>
    <tableColumn id="9" name="Kε_Λ0" dataDxfId="10">
      <calculatedColumnFormula>(0.1124/Tabella24[[#This Row],[r (X/b/2)]]^2) + ( 0.1024/Tabella24[[#This Row],[r (X/b/2)]]) + 2</calculatedColumnFormula>
    </tableColumn>
    <tableColumn id="13" name="dε/dα_k" dataDxfId="9">
      <calculatedColumnFormula>Tabella24[[#This Row],[Kε_Λ]]/Tabella24[[#This Row],[Kε_Λ0]]</calculatedColumnFormula>
    </tableColumn>
    <tableColumn id="10" name="dε/dα_1" dataDxfId="8" dataCellStyle="Normale">
      <calculatedColumnFormula>(Tabella24[[#This Row],[r (X/b/2)]]/(Tabella24[[#This Row],[r (X/b/2)]]^2 + Tabella24[[#This Row],[m (m/b/2)]]^2))* (0.4876/(SQRT(Tabella24[[#This Row],[r (X/b/2)]]^2 + 0.6319 + Tabella24[[#This Row],[m (m/b/2)]]^2)))</calculatedColumnFormula>
    </tableColumn>
    <tableColumn id="12" name="dε/dα_2" dataDxfId="7" dataCellStyle="Normale">
      <calculatedColumnFormula>(1+(Tabella24[[#This Row],[r (X/b/2)]]^2/(Tabella24[[#This Row],[r (X/b/2)]]^2+0.7915 + 5.074 * Tabella24[[#This Row],[m (m/b/2)]]^2))^(0.3113))</calculatedColumnFormula>
    </tableColumn>
    <tableColumn id="15" name="dε/dα_3" dataDxfId="6" dataCellStyle="Normale">
      <calculatedColumnFormula>(1-(SQRT((Tabella24[[#This Row],[m (m/b/2)]]^2)/(1+Tabella24[[#This Row],[m (m/b/2)]]^2))))</calculatedColumnFormula>
    </tableColumn>
    <tableColumn id="16" name="dε/dα" dataDxfId="5" dataCellStyle="Normale">
      <calculatedColumnFormula>Tabella24[[#This Row],[dε/dα_k]]*(Tabella24[[#This Row],[dε/dα_1]]+Tabella24[[#This Row],[dε/dα_2]]*Tabella24[[#This Row],[dε/dα_3]])*(Tabella24[[#This Row],[CL_α]]*57.3/(3.14*Tabella224[AR]))</calculatedColumnFormula>
    </tableColumn>
    <tableColumn id="17" name="ε" dataDxfId="4" dataCellStyle="Normale">
      <calculatedColumnFormula>Tabella24[[#This Row],[dε/dα]]*Tabella24[[#This Row],[α_abs]]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ella2245" displayName="Tabella2245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1">
      <calculatedColumnFormula xml:space="preserve"> SQRT(J2^2 + (I2-0.75*B2)^2)</calculatedColumnFormula>
    </tableColumn>
    <tableColumn id="9" name="φ" dataDxfId="0">
      <calculatedColumnFormula>ATAN((Tabella2245[[#This Row],[m0]]/(Tabella2245[[#This Row],[X0]]-0.75*Tabella2245[[#This Row],[Cr]])))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6:N27" totalsRowShown="0">
  <autoFilter ref="A6:N27"/>
  <tableColumns count="14">
    <tableColumn id="1" name="α_abs"/>
    <tableColumn id="2" name="α_b" dataDxfId="63">
      <calculatedColumnFormula>Tabella3[[#This Row],[α_abs]]+Tabella2[α0_w]*57.3-Tabella2[iw]*57.3</calculatedColumnFormula>
    </tableColumn>
    <tableColumn id="3" name="α_w" dataDxfId="62">
      <calculatedColumnFormula>Tabella3[[#This Row],[α_b]]+Tabella2[iw]*57.3</calculatedColumnFormula>
    </tableColumn>
    <tableColumn id="4" name="CL_α"/>
    <tableColumn id="5" name="CL" dataDxfId="61"/>
    <tableColumn id="6" name="X" dataDxfId="60">
      <calculatedColumnFormula>(Tabella2[d]*COS(Tabella2[φ]+Tabella2[iw]-Tabella2[α0_w]-A8/57.3))+(0.75*Tabella2[Cr]*COS(Tabella3[[#This Row],[α_abs]]/57.3+Tabella2[iw]))</calculatedColumnFormula>
    </tableColumn>
    <tableColumn id="7" name="X_p" dataDxfId="59">
      <calculatedColumnFormula>(Tabella3[[#This Row],[X]]/Tabella2[b/2])*100</calculatedColumnFormula>
    </tableColumn>
    <tableColumn id="8" name="m" dataDxfId="58">
      <calculatedColumnFormula>Tabella2[d]*SIN(Tabella2[φ]+Tabella2[iw]-Tabella2[α0_w]-A8/57.3)</calculatedColumnFormula>
    </tableColumn>
    <tableColumn id="9" name="m_P" dataDxfId="57">
      <calculatedColumnFormula>Tabella3[[#This Row],[m]]/Tabella2[b/2]*100</calculatedColumnFormula>
    </tableColumn>
    <tableColumn id="10" name="Φ" dataDxfId="2">
      <calculatedColumnFormula>Tabella14[[#This Row],[Φ_80]]</calculatedColumnFormula>
    </tableColumn>
    <tableColumn id="11" name="ε" dataDxfId="56">
      <calculatedColumnFormula>Tabella3[[#This Row],[Φ]]*Tabella3[[#This Row],[CL]]</calculatedColumnFormula>
    </tableColumn>
    <tableColumn id="12" name="dΦ/dα" dataDxfId="55">
      <calculatedColumnFormula>(J8-Tabella3[[#This Row],[Φ]])/(B8-Tabella3[[#This Row],[α_b]])</calculatedColumnFormula>
    </tableColumn>
    <tableColumn id="13" name="dε/dα" dataDxfId="54">
      <calculatedColumnFormula>Tabella3[[#This Row],[Φ]]*Tabella3[[#This Row],[CL_α]]+Tabella3[[#This Row],[CL]]*Tabella3[[#This Row],[dΦ/dα]]</calculatedColumnFormula>
    </tableColumn>
    <tableColumn id="14" name="Colonna1" dataDxfId="3">
      <calculatedColumnFormula>Tabella3[[#This Row],[dε/dα]]*Tabella3[[#This Row],[α_abs]]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ella9" displayName="Tabella9" ref="Q6:AB28" totalsRowShown="0" headerRowCellStyle="20% - Colore 1">
  <autoFilter ref="Q6:AB28"/>
  <tableColumns count="12">
    <tableColumn id="1" name="mTab"/>
    <tableColumn id="2" name="m1">
      <calculatedColumnFormula>Q7*Tabella3[[#This Row],[CL]]</calculatedColumnFormula>
    </tableColumn>
    <tableColumn id="3" name="m2">
      <calculatedColumnFormula>R7+10</calculatedColumnFormula>
    </tableColumn>
    <tableColumn id="4" name="m2meno">
      <calculatedColumnFormula>R7-10</calculatedColumnFormula>
    </tableColumn>
    <tableColumn id="5" name="m3">
      <calculatedColumnFormula>S7+10</calculatedColumnFormula>
    </tableColumn>
    <tableColumn id="6" name="m3meno">
      <calculatedColumnFormula>T7-10</calculatedColumnFormula>
    </tableColumn>
    <tableColumn id="7" name="m4">
      <calculatedColumnFormula>U7+10</calculatedColumnFormula>
    </tableColumn>
    <tableColumn id="8" name="m4meno">
      <calculatedColumnFormula>V7-10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Tabella11" displayName="Tabella11" ref="AD6:AO27" totalsRowShown="0" headerRowCellStyle="20% - Colore 1">
  <autoFilter ref="AD6:AO27"/>
  <tableColumns count="12">
    <tableColumn id="1" name="mTab"/>
    <tableColumn id="2" name="m1">
      <calculatedColumnFormula>AD7*Tabella3[[#This Row],[CL]]</calculatedColumnFormula>
    </tableColumn>
    <tableColumn id="3" name="m2">
      <calculatedColumnFormula>AE7+10</calculatedColumnFormula>
    </tableColumn>
    <tableColumn id="4" name="m2meno">
      <calculatedColumnFormula>AE7-10</calculatedColumnFormula>
    </tableColumn>
    <tableColumn id="5" name="m3">
      <calculatedColumnFormula>AF7+10</calculatedColumnFormula>
    </tableColumn>
    <tableColumn id="6" name="m3meno">
      <calculatedColumnFormula>AG7-10</calculatedColumnFormula>
    </tableColumn>
    <tableColumn id="7" name="m4" dataDxfId="53">
      <calculatedColumnFormula>Tabella11[[#This Row],[m3]]+10</calculatedColumnFormula>
    </tableColumn>
    <tableColumn id="8" name="m4meno">
      <calculatedColumnFormula>AI7-10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4" name="Tabella14" displayName="Tabella14" ref="BC6:BC27" totalsRowShown="0">
  <autoFilter ref="BC6:BC27"/>
  <tableColumns count="1">
    <tableColumn id="1" name="Φ_80">
      <calculatedColumnFormula>Tabella1[[#This Row],[Φ_3]]+(Tabella1[[#This Row],[Φ_4]]-Tabella1[[#This Row],[Φ_3]])*((Tabella3[[#This Row],[m_P]]-Tabella1[[#This Row],[m3]])/(Tabella1[[#This Row],[m4]]-Tabella1[[#This Row],[m3]]))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8" name="Tabella18" displayName="Tabella18" ref="Q35:AB56" totalsRowShown="0">
  <autoFilter ref="Q35:AB56"/>
  <tableColumns count="12">
    <tableColumn id="1" name="mTab"/>
    <tableColumn id="2" name="m1" dataDxfId="52">
      <calculatedColumnFormula>E7*Tabella18[[#This Row],[mTab]]</calculatedColumnFormula>
    </tableColumn>
    <tableColumn id="3" name="m2" dataDxfId="51">
      <calculatedColumnFormula>Tabella18[[#This Row],[m1]]+10</calculatedColumnFormula>
    </tableColumn>
    <tableColumn id="4" name="m2meno" dataDxfId="50">
      <calculatedColumnFormula>Tabella18[[#This Row],[m1]]-10</calculatedColumnFormula>
    </tableColumn>
    <tableColumn id="5" name="m3" dataDxfId="49">
      <calculatedColumnFormula>Tabella18[[#This Row],[m1]]+20</calculatedColumnFormula>
    </tableColumn>
    <tableColumn id="6" name="m3meno" dataDxfId="48">
      <calculatedColumnFormula>Tabella18[[#This Row],[m2meno]]-10</calculatedColumnFormula>
    </tableColumn>
    <tableColumn id="7" name="m4" dataDxfId="47">
      <calculatedColumnFormula>Tabella18[[#This Row],[m1]]+30</calculatedColumnFormula>
    </tableColumn>
    <tableColumn id="8" name="m4meno" dataDxfId="46">
      <calculatedColumnFormula>Tabella18[[#This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Tabella19" displayName="Tabella19" ref="AD35:AO56" totalsRowShown="0" headerRowDxfId="45" headerRowCellStyle="20% - Colore 1">
  <autoFilter ref="AD35:AO56"/>
  <tableColumns count="12">
    <tableColumn id="1" name="mTab"/>
    <tableColumn id="2" name="m1" dataDxfId="44">
      <calculatedColumnFormula>Tabella19[[#This Row],[mTab]]*E7</calculatedColumnFormula>
    </tableColumn>
    <tableColumn id="3" name="m2" dataDxfId="43">
      <calculatedColumnFormula>Tabella19[[#This Row],[m1]]+10</calculatedColumnFormula>
    </tableColumn>
    <tableColumn id="4" name="m2meno" dataDxfId="42">
      <calculatedColumnFormula>Tabella19[[#This Row],[m1]]-10</calculatedColumnFormula>
    </tableColumn>
    <tableColumn id="5" name="m3" dataDxfId="41">
      <calculatedColumnFormula>Tabella19[[#This Row],[m2]]+10</calculatedColumnFormula>
    </tableColumn>
    <tableColumn id="6" name="m3meno" dataDxfId="40">
      <calculatedColumnFormula>Tabella19[[#This Row],[m2meno]]-10</calculatedColumnFormula>
    </tableColumn>
    <tableColumn id="7" name="m4" dataDxfId="39">
      <calculatedColumnFormula>Tabella19[[#This Row],[m3]]+10</calculatedColumnFormula>
    </tableColumn>
    <tableColumn id="8" name="m4meno" dataDxfId="38">
      <calculatedColumnFormula>Tabella19[[#This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ella21" displayName="Tabella21" ref="AQ35:BA55" totalsRowShown="0" headerRowDxfId="37" headerRowCellStyle="20% - Colore 1">
  <autoFilter ref="AQ35:BA55"/>
  <tableColumns count="11">
    <tableColumn id="1" name="m1" dataDxfId="36">
      <calculatedColumnFormula>Tabella18[[#This Row],[m1]]+(Tabella19[[#This Row],[m1]]-Tabella18[[#This Row],[m1]])*((Tabella2[r = 1/λ]-1)/(2-1))</calculatedColumnFormula>
    </tableColumn>
    <tableColumn id="2" name="m2" dataDxfId="35">
      <calculatedColumnFormula>Tabella18[[#This Row],[m2]]+(Tabella19[[#This Row],[m2]]-Tabella18[[#This Row],[m2]])*((Tabella2[r = 1/λ]-1)/(2-1))</calculatedColumnFormula>
    </tableColumn>
    <tableColumn id="3" name="m2meno" dataDxfId="34">
      <calculatedColumnFormula>Tabella18[[#This Row],[m2meno]]+(Tabella19[[#This Row],[m2meno]]-Tabella18[[#This Row],[m2meno]])*((Tabella2[r = 1/λ]-1)/(2-1))</calculatedColumnFormula>
    </tableColumn>
    <tableColumn id="4" name="m3" dataDxfId="33">
      <calculatedColumnFormula>Tabella18[[#This Row],[m3]]+(Tabella19[[#This Row],[m3]]-Tabella18[[#This Row],[m3]])*((Tabella2[r = 1/λ]-1)/(2-1))</calculatedColumnFormula>
    </tableColumn>
    <tableColumn id="5" name="m3meno" dataDxfId="32">
      <calculatedColumnFormula>Tabella18[[#This Row],[m3meno]]+(Tabella19[[#This Row],[m3meno]]-Tabella18[[#This Row],[m3meno]])*((Tabella2[r = 1/λ]-1)/(2-1))</calculatedColumnFormula>
    </tableColumn>
    <tableColumn id="6" name="m4" dataDxfId="31">
      <calculatedColumnFormula>Tabella18[[#This Row],[m4]]+(Tabella19[[#This Row],[m4]]-Tabella18[[#This Row],[m4]])*((Tabella2[r = 1/λ]-1)/(2-1))</calculatedColumnFormula>
    </tableColumn>
    <tableColumn id="7" name="m4meno" dataDxfId="30">
      <calculatedColumnFormula>Tabella18[[#This Row],[m4meno]]+(Tabella19[[#This Row],[m4meno]]-Tabella18[[#This Row],[m4meno]])*((Tabella2[r = 1/λ]-1)/(2-1))</calculatedColumnFormula>
    </tableColumn>
    <tableColumn id="8" name="Φ_1" dataDxfId="29">
      <calculatedColumnFormula>Tabella18[[#This Row],[Φ_1]]+(Tabella19[[#This Row],[Φ_1]]-Tabella18[[#This Row],[Φ_1]])*((Tabella2[r = 1/λ]-1)/(2-1))</calculatedColumnFormula>
    </tableColumn>
    <tableColumn id="9" name="Φ_2" dataDxfId="28">
      <calculatedColumnFormula>Tabella18[[#This Row],[Φ_2]]+(Tabella19[[#This Row],[Φ_2]]-Tabella18[[#This Row],[Φ_2]])*((Tabella2[r = 1/λ]-1)/(2-1))</calculatedColumnFormula>
    </tableColumn>
    <tableColumn id="10" name="Φ_3" dataDxfId="27">
      <calculatedColumnFormula>Tabella18[[#This Row],[Φ_3]]+(Tabella19[[#This Row],[Φ_3]]-Tabella18[[#This Row],[Φ_3]])*((Tabella2[r = 1/λ]-1)/(2-1))</calculatedColumnFormula>
    </tableColumn>
    <tableColumn id="11" name="Φ_4" dataDxfId="26">
      <calculatedColumnFormula>Tabella18[[#This Row],[Φ_4]]+(Tabella19[[#This Row],[Φ_4]]-Tabella18[[#This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Tabella22" displayName="Tabella22" ref="BC35:BC55" totalsRowShown="0">
  <autoFilter ref="BC35:BC55"/>
  <tableColumns count="1">
    <tableColumn id="1" name="Φ_90" dataDxfId="25">
      <calculatedColumnFormula>Tabella21[[#This Row],[Φ_3]]+(Tabella21[[#This Row],[Φ_4]]-Tabella21[[#This Row],[Φ_3]])*(I7-Tabella21[[#This Row],[m3]])/(Tabella21[[#This Row],[m4]]-Tabella21[[#This Row],[m3]])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6"/>
  <sheetViews>
    <sheetView topLeftCell="K13" zoomScaleNormal="100" workbookViewId="0">
      <selection activeCell="J30" sqref="J30"/>
    </sheetView>
  </sheetViews>
  <sheetFormatPr defaultRowHeight="14.25" x14ac:dyDescent="0.45"/>
  <cols>
    <col min="1" max="9" width="10" customWidth="1"/>
    <col min="10" max="13" width="11" customWidth="1"/>
    <col min="15" max="34" width="10.265625" customWidth="1"/>
    <col min="35" max="38" width="11.265625" customWidth="1"/>
    <col min="41" max="41" width="10" customWidth="1"/>
    <col min="43" max="43" width="10" customWidth="1"/>
    <col min="45" max="45" width="10" customWidth="1"/>
    <col min="47" max="47" width="9.73046875" customWidth="1"/>
    <col min="49" max="49" width="9.73046875" customWidth="1"/>
    <col min="55" max="55" width="10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55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ATAN((Tabella2[[#This Row],[m0]]/(Tabella2[[#This Row],[X0]]-0.75*Tabella2[[#This Row],[Cr]])))</f>
        <v>0.3318971510674355</v>
      </c>
    </row>
    <row r="4" spans="1:55" x14ac:dyDescent="0.45">
      <c r="Q4" s="9" t="s">
        <v>24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5" x14ac:dyDescent="0.45">
      <c r="R5" s="10" t="s">
        <v>25</v>
      </c>
      <c r="S5" s="10"/>
      <c r="T5" s="10"/>
      <c r="U5" s="10"/>
      <c r="V5" s="10"/>
      <c r="W5" s="10"/>
      <c r="X5" s="10"/>
      <c r="Y5" s="6"/>
      <c r="Z5" s="6"/>
      <c r="AA5" s="6"/>
      <c r="AB5" s="6"/>
      <c r="AD5" s="10" t="s">
        <v>26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Q5" s="10" t="s">
        <v>31</v>
      </c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 spans="1:55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44</v>
      </c>
      <c r="Q6" s="5" t="s">
        <v>32</v>
      </c>
      <c r="R6" s="3" t="s">
        <v>27</v>
      </c>
      <c r="S6" s="4" t="s">
        <v>28</v>
      </c>
      <c r="T6" s="4" t="s">
        <v>33</v>
      </c>
      <c r="U6" s="4" t="s">
        <v>29</v>
      </c>
      <c r="V6" s="4" t="s">
        <v>34</v>
      </c>
      <c r="W6" s="4" t="s">
        <v>30</v>
      </c>
      <c r="X6" s="4" t="s">
        <v>35</v>
      </c>
      <c r="Y6" s="4" t="s">
        <v>39</v>
      </c>
      <c r="Z6" s="4" t="s">
        <v>40</v>
      </c>
      <c r="AA6" s="3" t="s">
        <v>37</v>
      </c>
      <c r="AB6" s="4" t="s">
        <v>38</v>
      </c>
      <c r="AD6" s="4" t="s">
        <v>32</v>
      </c>
      <c r="AE6" s="3" t="s">
        <v>27</v>
      </c>
      <c r="AF6" s="4" t="s">
        <v>28</v>
      </c>
      <c r="AG6" s="4" t="s">
        <v>33</v>
      </c>
      <c r="AH6" s="4" t="s">
        <v>29</v>
      </c>
      <c r="AI6" s="4" t="s">
        <v>34</v>
      </c>
      <c r="AJ6" s="4" t="s">
        <v>30</v>
      </c>
      <c r="AK6" s="4" t="s">
        <v>35</v>
      </c>
      <c r="AL6" s="4" t="s">
        <v>39</v>
      </c>
      <c r="AM6" s="3" t="s">
        <v>40</v>
      </c>
      <c r="AN6" s="3" t="s">
        <v>37</v>
      </c>
      <c r="AO6" s="3" t="s">
        <v>38</v>
      </c>
      <c r="AQ6" s="8" t="s">
        <v>27</v>
      </c>
      <c r="AR6" s="8" t="s">
        <v>28</v>
      </c>
      <c r="AS6" s="8" t="s">
        <v>33</v>
      </c>
      <c r="AT6" s="8" t="s">
        <v>29</v>
      </c>
      <c r="AU6" s="8" t="s">
        <v>34</v>
      </c>
      <c r="AV6" s="8" t="s">
        <v>30</v>
      </c>
      <c r="AW6" s="8" t="s">
        <v>35</v>
      </c>
      <c r="AX6" s="8" t="s">
        <v>39</v>
      </c>
      <c r="AY6" s="8" t="s">
        <v>40</v>
      </c>
      <c r="AZ6" s="8" t="s">
        <v>37</v>
      </c>
      <c r="BA6" s="8" t="s">
        <v>38</v>
      </c>
      <c r="BC6" t="s">
        <v>42</v>
      </c>
    </row>
    <row r="7" spans="1:55" x14ac:dyDescent="0.45">
      <c r="A7">
        <v>0</v>
      </c>
      <c r="B7">
        <f>Tabella3[[#This Row],[α_abs]]+Tabella2[α0_w]*57.3-Tabella2[iw]*57.3</f>
        <v>-2.6684609999999997</v>
      </c>
      <c r="C7">
        <f>Tabella3[[#This Row],[α_b]]+Tabella2[iw]*57.3</f>
        <v>-1.1672009999999997</v>
      </c>
      <c r="D7">
        <v>9.8282834347781997E-2</v>
      </c>
      <c r="E7">
        <v>0.115402510819653</v>
      </c>
      <c r="F7">
        <f>(Tabella2[d]*COS(Tabella2[φ]+Tabella2[iw]-Tabella2[α0_w]-A8/57.3))+(0.75*Tabella2[Cr]*COS(Tabella3[[#This Row],[α_abs]]/57.3+Tabella2[iw]))</f>
        <v>13.615250995158224</v>
      </c>
      <c r="G7">
        <f>(Tabella3[[#This Row],[X]]/Tabella2[b/2])*100</f>
        <v>100.63008865601053</v>
      </c>
      <c r="H7">
        <f>Tabella2[d]*SIN(Tabella2[φ]+Tabella2[iw]-Tabella2[α0_w]-A8/57.3)</f>
        <v>4.4337679290079439</v>
      </c>
      <c r="I7">
        <f>Tabella3[[#This Row],[m]]/Tabella2[b/2]*100</f>
        <v>32.769903392519915</v>
      </c>
      <c r="J7">
        <f>Tabella14[[#This Row],[Φ_80]]</f>
        <v>2.2676854065248087</v>
      </c>
      <c r="K7">
        <f>Tabella3[[#This Row],[Φ]]*Tabella3[[#This Row],[CL]]</f>
        <v>0.26169658966204845</v>
      </c>
      <c r="L7">
        <f>(J8-Tabella3[[#This Row],[Φ]])/(B8-Tabella3[[#This Row],[α_b]])</f>
        <v>3.1849106013883251E-2</v>
      </c>
      <c r="M7">
        <f>Tabella3[[#This Row],[Φ]]*Tabella3[[#This Row],[CL_α]]+Tabella3[[#This Row],[CL]]*Tabella3[[#This Row],[dΦ/dα]]</f>
        <v>0.22655001596372387</v>
      </c>
      <c r="N7" s="2">
        <f>Tabella3[[#This Row],[dε/dα]]*Tabella3[[#This Row],[α_abs]]</f>
        <v>0</v>
      </c>
      <c r="Q7">
        <v>-3.3</v>
      </c>
      <c r="R7">
        <f>Q7*Tabella3[[#This Row],[CL]]</f>
        <v>-0.38082828570485489</v>
      </c>
      <c r="S7">
        <f t="shared" ref="S7:S28" si="0">R7+10</f>
        <v>9.6191717142951454</v>
      </c>
      <c r="T7">
        <f t="shared" ref="T7:T28" si="1">R7-10</f>
        <v>-10.380828285704855</v>
      </c>
      <c r="U7">
        <f t="shared" ref="U7:U28" si="2">S7+10</f>
        <v>19.619171714295145</v>
      </c>
      <c r="V7">
        <f t="shared" ref="V7:V28" si="3">T7-10</f>
        <v>-20.380828285704855</v>
      </c>
      <c r="W7">
        <f t="shared" ref="W7:W28" si="4">U7+10</f>
        <v>29.619171714295145</v>
      </c>
      <c r="X7">
        <f t="shared" ref="X7:X28" si="5">V7-10</f>
        <v>-30.380828285704855</v>
      </c>
      <c r="AA7">
        <v>2.2000000000000002</v>
      </c>
      <c r="AB7">
        <v>2.0499999999999998</v>
      </c>
      <c r="AD7">
        <v>-5.2</v>
      </c>
      <c r="AE7">
        <f>AD7*Tabella3[[#This Row],[CL]]</f>
        <v>-0.60009305626219556</v>
      </c>
      <c r="AF7">
        <f>AE7+10</f>
        <v>9.399906943737804</v>
      </c>
      <c r="AG7">
        <f>AE7-10</f>
        <v>-10.600093056262196</v>
      </c>
      <c r="AH7">
        <f>AF7+10</f>
        <v>19.399906943737804</v>
      </c>
      <c r="AI7">
        <f>AG7-10</f>
        <v>-20.600093056262196</v>
      </c>
      <c r="AJ7">
        <f>Tabella11[[#This Row],[m3]]+10</f>
        <v>29.399906943737804</v>
      </c>
      <c r="AK7">
        <f>AI7-10</f>
        <v>-30.600093056262196</v>
      </c>
      <c r="AN7">
        <v>3</v>
      </c>
      <c r="AO7">
        <v>2.6</v>
      </c>
      <c r="AQ7">
        <f>Tabella9[[#This Row],[m1]]+(Tabella11[[#This Row],[m1]]-Tabella9[[#This Row],[m1]])*((Tabella2[r = 1/λ]-1)/(2-1))</f>
        <v>-0.50580920492253911</v>
      </c>
      <c r="AR7">
        <f>Tabella9[[#This Row],[m2]]+(Tabella11[[#This Row],[m2]]-Tabella9[[#This Row],[m2]])*((Tabella2[r = 1/λ]-1)/(2-1))</f>
        <v>9.4941907950774613</v>
      </c>
      <c r="AS7">
        <f>Tabella9[[#This Row],[m2meno]]+(Tabella11[[#This Row],[m2meno]]-Tabella9[[#This Row],[m2meno]])*((Tabella2[r = 1/λ]-1)/(2-1))</f>
        <v>-10.505809204922539</v>
      </c>
      <c r="AT7">
        <f>Tabella9[[#This Row],[m3]]+(Tabella11[[#This Row],[m3]]-Tabella9[[#This Row],[m3]])*((Tabella2[r = 1/λ]-1)/(2-1))</f>
        <v>19.494190795077461</v>
      </c>
      <c r="AU7">
        <f>Tabella9[[#This Row],[m3meno]]+(Tabella11[[#This Row],[m3meno]]-Tabella9[[#This Row],[m3meno]])*((Tabella2[r = 1/λ]-1)/(2-1))</f>
        <v>-20.505809204922539</v>
      </c>
      <c r="AV7">
        <f>Tabella9[[#This Row],[m4]]+(Tabella11[[#This Row],[m4]]-Tabella9[[#This Row],[m4]])*((Tabella2[r = 1/λ]-1)/(2-1))</f>
        <v>29.494190795077461</v>
      </c>
      <c r="AW7">
        <f>Tabella9[[#This Row],[m4meno]]+(Tabella11[[#This Row],[m4meno]]-Tabella9[[#This Row],[m4meno]])*((Tabella2[r = 1/λ]-1)/(2-1))</f>
        <v>-30.505809204922539</v>
      </c>
      <c r="AX7" s="2">
        <f>Tabella9[[#This Row],[Φ_1]]+(Tabella11[[#This Row],[Φ_1]]-Tabella9[[#This Row],[Φ_1]])*((Tabella2[r = 1/λ]-1)/(2-1))</f>
        <v>0</v>
      </c>
      <c r="AY7" s="2">
        <f>Tabella9[[#This Row],[Φ_2]]+(Tabella11[[#This Row],[Φ_2]]-Tabella9[[#This Row],[Φ_2]])*((Tabella2[r = 1/λ]-1)/(2-1))</f>
        <v>0</v>
      </c>
      <c r="AZ7" s="2">
        <f>Tabella9[[#This Row],[Φ_3]]+(Tabella11[[#This Row],[Φ_3]]-Tabella9[[#This Row],[Φ_3]])*((Tabella2[r = 1/λ]-1)/(2-1))</f>
        <v>2.6560000000000001</v>
      </c>
      <c r="BA7" s="2">
        <f>Tabella9[[#This Row],[Φ_4]]+(Tabella11[[#This Row],[Φ_4]]-Tabella9[[#This Row],[Φ_4]])*((Tabella2[r = 1/λ]-1)/(2-1))</f>
        <v>2.3635000000000002</v>
      </c>
      <c r="BC7">
        <f>Tabella1[[#This Row],[Φ_3]]+(Tabella1[[#This Row],[Φ_4]]-Tabella1[[#This Row],[Φ_3]])*((Tabella3[[#This Row],[m_P]]-Tabella1[[#This Row],[m3]])/(Tabella1[[#This Row],[m4]]-Tabella1[[#This Row],[m3]]))</f>
        <v>2.2676854065248087</v>
      </c>
    </row>
    <row r="8" spans="1:55" x14ac:dyDescent="0.45">
      <c r="A8">
        <f>A7+1</f>
        <v>1</v>
      </c>
      <c r="B8">
        <f>Tabella3[[#This Row],[α_abs]]+Tabella2[α0_w]*57.3-Tabella2[iw]*57.3</f>
        <v>-1.668461</v>
      </c>
      <c r="C8">
        <f>Tabella3[[#This Row],[α_b]]+Tabella2[iw]*57.3</f>
        <v>-0.16720099999999993</v>
      </c>
      <c r="D8">
        <v>9.8282834347781997E-2</v>
      </c>
      <c r="E8" s="2">
        <v>0.21368534516743501</v>
      </c>
      <c r="F8">
        <f>(Tabella2[d]*COS(Tabella2[φ]+Tabella2[iw]-Tabella2[α0_w]-A9/57.3))+(0.75*Tabella2[Cr]*COS(Tabella3[[#This Row],[α_abs]]/57.3+Tabella2[iw]))</f>
        <v>13.689695693351386</v>
      </c>
      <c r="G8">
        <f>(Tabella3[[#This Row],[X]]/Tabella2[b/2])*100</f>
        <v>101.18030815485135</v>
      </c>
      <c r="H8">
        <f>Tabella2[d]*SIN(Tabella2[φ]+Tabella2[iw]-Tabella2[α0_w]-A9/57.3)</f>
        <v>4.2281617210034952</v>
      </c>
      <c r="I8">
        <f>Tabella3[[#This Row],[m]]/Tabella2[b/2]*100</f>
        <v>31.250271404312603</v>
      </c>
      <c r="J8">
        <f>Tabella14[[#This Row],[Φ_80]]</f>
        <v>2.2995345125386919</v>
      </c>
      <c r="K8">
        <f>Tabella3[[#This Row],[Φ]]*Tabella3[[#This Row],[CL]]</f>
        <v>0.49137682603625976</v>
      </c>
      <c r="L8">
        <f>(J9-Tabella3[[#This Row],[Φ]])/(B9-Tabella3[[#This Row],[α_b]])</f>
        <v>3.212749971006934E-2</v>
      </c>
      <c r="M8">
        <f>Tabella3[[#This Row],[Φ]]*Tabella3[[#This Row],[CL_α]]+Tabella3[[#This Row],[CL]]*Tabella3[[#This Row],[dΦ/dα]]</f>
        <v>0.23286994543776071</v>
      </c>
      <c r="N8" s="2">
        <f>Tabella3[[#This Row],[dε/dα]]*Tabella3[[#This Row],[α_abs]]</f>
        <v>0.23286994543776071</v>
      </c>
      <c r="Q8">
        <v>-3.3</v>
      </c>
      <c r="R8">
        <f>Q8*Tabella3[[#This Row],[CL]]</f>
        <v>-0.70516163905253548</v>
      </c>
      <c r="S8">
        <f t="shared" si="0"/>
        <v>9.2948383609474643</v>
      </c>
      <c r="T8">
        <f t="shared" si="1"/>
        <v>-10.705161639052536</v>
      </c>
      <c r="U8">
        <f t="shared" si="2"/>
        <v>19.294838360947466</v>
      </c>
      <c r="V8">
        <f t="shared" si="3"/>
        <v>-20.705161639052534</v>
      </c>
      <c r="W8">
        <f t="shared" si="4"/>
        <v>29.294838360947466</v>
      </c>
      <c r="X8">
        <f t="shared" si="5"/>
        <v>-30.705161639052534</v>
      </c>
      <c r="AA8">
        <v>2.2000000000000002</v>
      </c>
      <c r="AB8">
        <v>2.0499999999999998</v>
      </c>
      <c r="AD8">
        <v>-5.2</v>
      </c>
      <c r="AE8">
        <f>AD8*Tabella3[[#This Row],[CL]]</f>
        <v>-1.1111637948706621</v>
      </c>
      <c r="AF8">
        <f t="shared" ref="AF8:AF26" si="6">AE8+10</f>
        <v>8.888836205129337</v>
      </c>
      <c r="AG8">
        <f t="shared" ref="AG8:AG27" si="7">AE8-10</f>
        <v>-11.111163794870663</v>
      </c>
      <c r="AH8">
        <f t="shared" ref="AH8:AH27" si="8">AF8+10</f>
        <v>18.888836205129337</v>
      </c>
      <c r="AI8">
        <f t="shared" ref="AI8:AI28" si="9">AG8-10</f>
        <v>-21.111163794870663</v>
      </c>
      <c r="AJ8">
        <f>Tabella11[[#This Row],[m3]]+10</f>
        <v>28.888836205129337</v>
      </c>
      <c r="AK8">
        <f t="shared" ref="AK8:AK27" si="10">AI8-10</f>
        <v>-31.111163794870663</v>
      </c>
      <c r="AN8">
        <v>3</v>
      </c>
      <c r="AO8">
        <v>2.6</v>
      </c>
      <c r="AQ8">
        <f>Tabella9[[#This Row],[m1]]+(Tabella11[[#This Row],[m1]]-Tabella9[[#This Row],[m1]])*((Tabella2[r = 1/λ]-1)/(2-1))</f>
        <v>-0.93658286786886769</v>
      </c>
      <c r="AR8">
        <f>Tabella9[[#This Row],[m2]]+(Tabella11[[#This Row],[m2]]-Tabella9[[#This Row],[m2]])*((Tabella2[r = 1/λ]-1)/(2-1))</f>
        <v>9.0634171321311321</v>
      </c>
      <c r="AS8">
        <f>Tabella9[[#This Row],[m2meno]]+(Tabella11[[#This Row],[m2meno]]-Tabella9[[#This Row],[m2meno]])*((Tabella2[r = 1/λ]-1)/(2-1))</f>
        <v>-10.936582867868868</v>
      </c>
      <c r="AT8">
        <f>Tabella9[[#This Row],[m3]]+(Tabella11[[#This Row],[m3]]-Tabella9[[#This Row],[m3]])*((Tabella2[r = 1/λ]-1)/(2-1))</f>
        <v>19.063417132131132</v>
      </c>
      <c r="AU8">
        <f>Tabella9[[#This Row],[m3meno]]+(Tabella11[[#This Row],[m3meno]]-Tabella9[[#This Row],[m3meno]])*((Tabella2[r = 1/λ]-1)/(2-1))</f>
        <v>-20.936582867868868</v>
      </c>
      <c r="AV8">
        <f>Tabella9[[#This Row],[m4]]+(Tabella11[[#This Row],[m4]]-Tabella9[[#This Row],[m4]])*((Tabella2[r = 1/λ]-1)/(2-1))</f>
        <v>29.063417132131132</v>
      </c>
      <c r="AW8">
        <f>Tabella9[[#This Row],[m4meno]]+(Tabella11[[#This Row],[m4meno]]-Tabella9[[#This Row],[m4meno]])*((Tabella2[r = 1/λ]-1)/(2-1))</f>
        <v>-30.936582867868868</v>
      </c>
      <c r="AX8" s="2">
        <f>Tabella9[[#This Row],[Φ_1]]+(Tabella11[[#This Row],[Φ_1]]-Tabella9[[#This Row],[Φ_1]])*((Tabella2[r = 1/λ]-1)/(2-1))</f>
        <v>0</v>
      </c>
      <c r="AY8" s="2">
        <f>Tabella9[[#This Row],[Φ_2]]+(Tabella11[[#This Row],[Φ_2]]-Tabella9[[#This Row],[Φ_2]])*((Tabella2[r = 1/λ]-1)/(2-1))</f>
        <v>0</v>
      </c>
      <c r="AZ8" s="2">
        <f>Tabella9[[#This Row],[Φ_3]]+(Tabella11[[#This Row],[Φ_3]]-Tabella9[[#This Row],[Φ_3]])*((Tabella2[r = 1/λ]-1)/(2-1))</f>
        <v>2.6560000000000001</v>
      </c>
      <c r="BA8" s="2">
        <f>Tabella9[[#This Row],[Φ_4]]+(Tabella11[[#This Row],[Φ_4]]-Tabella9[[#This Row],[Φ_4]])*((Tabella2[r = 1/λ]-1)/(2-1))</f>
        <v>2.3635000000000002</v>
      </c>
      <c r="BC8">
        <f>Tabella1[[#This Row],[Φ_3]]+(Tabella1[[#This Row],[Φ_4]]-Tabella1[[#This Row],[Φ_3]])*((Tabella3[[#This Row],[m_P]]-Tabella1[[#This Row],[m3]])/(Tabella1[[#This Row],[m4]]-Tabella1[[#This Row],[m3]]))</f>
        <v>2.2995345125386919</v>
      </c>
    </row>
    <row r="9" spans="1:55" x14ac:dyDescent="0.45">
      <c r="A9">
        <f t="shared" ref="A9:A24" si="11">A8+1</f>
        <v>2</v>
      </c>
      <c r="B9">
        <f>Tabella3[[#This Row],[α_abs]]+Tabella2[α0_w]*57.3-Tabella2[iw]*57.3</f>
        <v>-0.66846099999999997</v>
      </c>
      <c r="C9">
        <f>Tabella3[[#This Row],[α_b]]+Tabella2[iw]*57.3</f>
        <v>0.83279900000000007</v>
      </c>
      <c r="D9">
        <v>9.8282834347781997E-2</v>
      </c>
      <c r="E9">
        <v>0.31196817951521699</v>
      </c>
      <c r="F9">
        <f>(Tabella2[d]*COS(Tabella2[φ]+Tabella2[iw]-Tabella2[α0_w]-A10/57.3))+(0.75*Tabella2[Cr]*COS(Tabella3[[#This Row],[α_abs]]/57.3+Tabella2[iw]))</f>
        <v>13.759970991875891</v>
      </c>
      <c r="G9">
        <f>(Tabella3[[#This Row],[X]]/Tabella2[b/2])*100</f>
        <v>101.69971169161782</v>
      </c>
      <c r="H9">
        <f>Tabella2[d]*SIN(Tabella2[φ]+Tabella2[iw]-Tabella2[α0_w]-A10/57.3)</f>
        <v>4.0212677636966907</v>
      </c>
      <c r="I9">
        <f>Tabella3[[#This Row],[m]]/Tabella2[b/2]*100</f>
        <v>29.721121682902375</v>
      </c>
      <c r="J9">
        <f>Tabella14[[#This Row],[Φ_80]]</f>
        <v>2.3316620122487612</v>
      </c>
      <c r="K9">
        <f>Tabella3[[#This Row],[Φ]]*Tabella3[[#This Row],[CL]]</f>
        <v>0.72740435320603358</v>
      </c>
      <c r="L9">
        <f>(J10-Tabella3[[#This Row],[Φ]])/(B10-Tabella3[[#This Row],[α_b]])</f>
        <v>3.2392270943989665E-2</v>
      </c>
      <c r="M9">
        <f>Tabella3[[#This Row],[Φ]]*Tabella3[[#This Row],[CL_α]]+Tabella3[[#This Row],[CL]]*Tabella3[[#This Row],[dΦ/dα]]</f>
        <v>0.23926770910162115</v>
      </c>
      <c r="N9" s="2">
        <f>Tabella3[[#This Row],[dε/dα]]*Tabella3[[#This Row],[α_abs]]</f>
        <v>0.4785354182032423</v>
      </c>
      <c r="Q9">
        <v>-3.3</v>
      </c>
      <c r="R9">
        <f>Q9*Tabella3[[#This Row],[CL]]</f>
        <v>-1.0294949924002159</v>
      </c>
      <c r="S9">
        <f t="shared" si="0"/>
        <v>8.9705050075997832</v>
      </c>
      <c r="T9">
        <f t="shared" si="1"/>
        <v>-11.029494992400217</v>
      </c>
      <c r="U9">
        <f t="shared" si="2"/>
        <v>18.970505007599783</v>
      </c>
      <c r="V9">
        <f t="shared" si="3"/>
        <v>-21.029494992400217</v>
      </c>
      <c r="W9">
        <f t="shared" si="4"/>
        <v>28.970505007599783</v>
      </c>
      <c r="X9">
        <f t="shared" si="5"/>
        <v>-31.029494992400217</v>
      </c>
      <c r="AA9">
        <v>2.2000000000000002</v>
      </c>
      <c r="AB9">
        <v>2.0499999999999998</v>
      </c>
      <c r="AD9">
        <v>-5.2</v>
      </c>
      <c r="AE9">
        <f>AD9*Tabella3[[#This Row],[CL]]</f>
        <v>-1.6222345334791284</v>
      </c>
      <c r="AF9">
        <f t="shared" si="6"/>
        <v>8.3777654665208718</v>
      </c>
      <c r="AG9">
        <f t="shared" si="7"/>
        <v>-11.622234533479128</v>
      </c>
      <c r="AH9">
        <f t="shared" si="8"/>
        <v>18.37776546652087</v>
      </c>
      <c r="AI9">
        <f t="shared" si="9"/>
        <v>-21.62223453347913</v>
      </c>
      <c r="AJ9">
        <f>Tabella11[[#This Row],[m3]]+10</f>
        <v>28.37776546652087</v>
      </c>
      <c r="AK9">
        <f t="shared" si="10"/>
        <v>-31.62223453347913</v>
      </c>
      <c r="AN9">
        <v>3</v>
      </c>
      <c r="AO9">
        <v>2.6</v>
      </c>
      <c r="AQ9">
        <f>Tabella9[[#This Row],[m1]]+(Tabella11[[#This Row],[m1]]-Tabella9[[#This Row],[m1]])*((Tabella2[r = 1/λ]-1)/(2-1))</f>
        <v>-1.367356530815196</v>
      </c>
      <c r="AR9">
        <f>Tabella9[[#This Row],[m2]]+(Tabella11[[#This Row],[m2]]-Tabella9[[#This Row],[m2]])*((Tabella2[r = 1/λ]-1)/(2-1))</f>
        <v>8.6326434691848029</v>
      </c>
      <c r="AS9">
        <f>Tabella9[[#This Row],[m2meno]]+(Tabella11[[#This Row],[m2meno]]-Tabella9[[#This Row],[m2meno]])*((Tabella2[r = 1/λ]-1)/(2-1))</f>
        <v>-11.367356530815197</v>
      </c>
      <c r="AT9">
        <f>Tabella9[[#This Row],[m3]]+(Tabella11[[#This Row],[m3]]-Tabella9[[#This Row],[m3]])*((Tabella2[r = 1/λ]-1)/(2-1))</f>
        <v>18.632643469184803</v>
      </c>
      <c r="AU9">
        <f>Tabella9[[#This Row],[m3meno]]+(Tabella11[[#This Row],[m3meno]]-Tabella9[[#This Row],[m3meno]])*((Tabella2[r = 1/λ]-1)/(2-1))</f>
        <v>-21.367356530815197</v>
      </c>
      <c r="AV9">
        <f>Tabella9[[#This Row],[m4]]+(Tabella11[[#This Row],[m4]]-Tabella9[[#This Row],[m4]])*((Tabella2[r = 1/λ]-1)/(2-1))</f>
        <v>28.632643469184803</v>
      </c>
      <c r="AW9">
        <f>Tabella9[[#This Row],[m4meno]]+(Tabella11[[#This Row],[m4meno]]-Tabella9[[#This Row],[m4meno]])*((Tabella2[r = 1/λ]-1)/(2-1))</f>
        <v>-31.367356530815197</v>
      </c>
      <c r="AX9" s="2">
        <f>Tabella9[[#This Row],[Φ_1]]+(Tabella11[[#This Row],[Φ_1]]-Tabella9[[#This Row],[Φ_1]])*((Tabella2[r = 1/λ]-1)/(2-1))</f>
        <v>0</v>
      </c>
      <c r="AY9" s="2">
        <f>Tabella9[[#This Row],[Φ_2]]+(Tabella11[[#This Row],[Φ_2]]-Tabella9[[#This Row],[Φ_2]])*((Tabella2[r = 1/λ]-1)/(2-1))</f>
        <v>0</v>
      </c>
      <c r="AZ9" s="2">
        <f>Tabella9[[#This Row],[Φ_3]]+(Tabella11[[#This Row],[Φ_3]]-Tabella9[[#This Row],[Φ_3]])*((Tabella2[r = 1/λ]-1)/(2-1))</f>
        <v>2.6560000000000001</v>
      </c>
      <c r="BA9" s="2">
        <f>Tabella9[[#This Row],[Φ_4]]+(Tabella11[[#This Row],[Φ_4]]-Tabella9[[#This Row],[Φ_4]])*((Tabella2[r = 1/λ]-1)/(2-1))</f>
        <v>2.3635000000000002</v>
      </c>
      <c r="BC9">
        <f>Tabella1[[#This Row],[Φ_3]]+(Tabella1[[#This Row],[Φ_4]]-Tabella1[[#This Row],[Φ_3]])*((Tabella3[[#This Row],[m_P]]-Tabella1[[#This Row],[m3]])/(Tabella1[[#This Row],[m4]]-Tabella1[[#This Row],[m3]]))</f>
        <v>2.3316620122487612</v>
      </c>
    </row>
    <row r="10" spans="1:55" x14ac:dyDescent="0.45">
      <c r="A10">
        <f t="shared" si="11"/>
        <v>3</v>
      </c>
      <c r="B10">
        <f>Tabella3[[#This Row],[α_abs]]+Tabella2[α0_w]*57.3-Tabella2[iw]*57.3</f>
        <v>0.33153900000000003</v>
      </c>
      <c r="C10">
        <f>Tabella3[[#This Row],[α_b]]+Tabella2[iw]*57.3</f>
        <v>1.8327990000000001</v>
      </c>
      <c r="D10">
        <v>9.8282834347781997E-2</v>
      </c>
      <c r="E10">
        <v>0.410251013862999</v>
      </c>
      <c r="F10">
        <f>(Tabella2[d]*COS(Tabella2[φ]+Tabella2[iw]-Tabella2[α0_w]-A11/57.3))+(0.75*Tabella2[Cr]*COS(Tabella3[[#This Row],[α_abs]]/57.3+Tabella2[iw]))</f>
        <v>13.826055487348285</v>
      </c>
      <c r="G10">
        <f>(Tabella3[[#This Row],[X]]/Tabella2[b/2])*100</f>
        <v>102.1881410742667</v>
      </c>
      <c r="H10">
        <f>Tabella2[d]*SIN(Tabella2[φ]+Tabella2[iw]-Tabella2[α0_w]-A11/57.3)</f>
        <v>3.8131490697078543</v>
      </c>
      <c r="I10">
        <f>Tabella3[[#This Row],[m]]/Tabella2[b/2]*100</f>
        <v>28.18291995349486</v>
      </c>
      <c r="J10">
        <f>Tabella14[[#This Row],[Φ_80]]</f>
        <v>2.3640542831927509</v>
      </c>
      <c r="K10">
        <f>Tabella3[[#This Row],[Φ]]*Tabella3[[#This Row],[CL]]</f>
        <v>0.9698556665069914</v>
      </c>
      <c r="L10">
        <f>(J11-Tabella3[[#This Row],[Φ]])/(B11-Tabella3[[#This Row],[α_b]])</f>
        <v>3.2643339075643318E-2</v>
      </c>
      <c r="M10">
        <f>Tabella3[[#This Row],[Φ]]*Tabella3[[#This Row],[CL_α]]+Tabella3[[#This Row],[CL]]*Tabella3[[#This Row],[dΦ/dα]]</f>
        <v>0.24573791845585397</v>
      </c>
      <c r="N10" s="2">
        <f>Tabella3[[#This Row],[dε/dα]]*Tabella3[[#This Row],[α_abs]]</f>
        <v>0.73721375536756195</v>
      </c>
      <c r="Q10">
        <v>-3.3</v>
      </c>
      <c r="R10">
        <f>Q10*Tabella3[[#This Row],[CL]]</f>
        <v>-1.3538283457478966</v>
      </c>
      <c r="S10">
        <f t="shared" si="0"/>
        <v>8.6461716542521039</v>
      </c>
      <c r="T10">
        <f t="shared" si="1"/>
        <v>-11.353828345747896</v>
      </c>
      <c r="U10">
        <f t="shared" si="2"/>
        <v>18.646171654252104</v>
      </c>
      <c r="V10">
        <f t="shared" si="3"/>
        <v>-21.353828345747896</v>
      </c>
      <c r="W10">
        <f t="shared" si="4"/>
        <v>28.646171654252104</v>
      </c>
      <c r="X10">
        <f t="shared" si="5"/>
        <v>-31.353828345747896</v>
      </c>
      <c r="AA10">
        <v>2.2000000000000002</v>
      </c>
      <c r="AB10">
        <v>2.0499999999999998</v>
      </c>
      <c r="AD10">
        <v>-5.2</v>
      </c>
      <c r="AE10">
        <f>AD10*Tabella3[[#This Row],[CL]]</f>
        <v>-2.1333052720875947</v>
      </c>
      <c r="AF10">
        <f t="shared" si="6"/>
        <v>7.8666947279124049</v>
      </c>
      <c r="AG10">
        <f t="shared" si="7"/>
        <v>-12.133305272087595</v>
      </c>
      <c r="AH10">
        <f t="shared" si="8"/>
        <v>17.866694727912403</v>
      </c>
      <c r="AI10">
        <f t="shared" si="9"/>
        <v>-22.133305272087597</v>
      </c>
      <c r="AJ10">
        <f>Tabella11[[#This Row],[m3]]+10</f>
        <v>27.866694727912403</v>
      </c>
      <c r="AK10">
        <f t="shared" si="10"/>
        <v>-32.133305272087597</v>
      </c>
      <c r="AN10">
        <v>3</v>
      </c>
      <c r="AO10">
        <v>2.6</v>
      </c>
      <c r="AQ10">
        <f>Tabella9[[#This Row],[m1]]+(Tabella11[[#This Row],[m1]]-Tabella9[[#This Row],[m1]])*((Tabella2[r = 1/λ]-1)/(2-1))</f>
        <v>-1.7981301937615246</v>
      </c>
      <c r="AR10">
        <f>Tabella9[[#This Row],[m2]]+(Tabella11[[#This Row],[m2]]-Tabella9[[#This Row],[m2]])*((Tabella2[r = 1/λ]-1)/(2-1))</f>
        <v>8.2018698062384754</v>
      </c>
      <c r="AS10">
        <f>Tabella9[[#This Row],[m2meno]]+(Tabella11[[#This Row],[m2meno]]-Tabella9[[#This Row],[m2meno]])*((Tabella2[r = 1/λ]-1)/(2-1))</f>
        <v>-11.798130193761525</v>
      </c>
      <c r="AT10">
        <f>Tabella9[[#This Row],[m3]]+(Tabella11[[#This Row],[m3]]-Tabella9[[#This Row],[m3]])*((Tabella2[r = 1/λ]-1)/(2-1))</f>
        <v>18.201869806238474</v>
      </c>
      <c r="AU10">
        <f>Tabella9[[#This Row],[m3meno]]+(Tabella11[[#This Row],[m3meno]]-Tabella9[[#This Row],[m3meno]])*((Tabella2[r = 1/λ]-1)/(2-1))</f>
        <v>-21.798130193761526</v>
      </c>
      <c r="AV10">
        <f>Tabella9[[#This Row],[m4]]+(Tabella11[[#This Row],[m4]]-Tabella9[[#This Row],[m4]])*((Tabella2[r = 1/λ]-1)/(2-1))</f>
        <v>28.201869806238474</v>
      </c>
      <c r="AW10">
        <f>Tabella9[[#This Row],[m4meno]]+(Tabella11[[#This Row],[m4meno]]-Tabella9[[#This Row],[m4meno]])*((Tabella2[r = 1/λ]-1)/(2-1))</f>
        <v>-31.798130193761526</v>
      </c>
      <c r="AX10" s="2">
        <f>Tabella9[[#This Row],[Φ_1]]+(Tabella11[[#This Row],[Φ_1]]-Tabella9[[#This Row],[Φ_1]])*((Tabella2[r = 1/λ]-1)/(2-1))</f>
        <v>0</v>
      </c>
      <c r="AY10" s="2">
        <f>Tabella9[[#This Row],[Φ_2]]+(Tabella11[[#This Row],[Φ_2]]-Tabella9[[#This Row],[Φ_2]])*((Tabella2[r = 1/λ]-1)/(2-1))</f>
        <v>0</v>
      </c>
      <c r="AZ10" s="2">
        <f>Tabella9[[#This Row],[Φ_3]]+(Tabella11[[#This Row],[Φ_3]]-Tabella9[[#This Row],[Φ_3]])*((Tabella2[r = 1/λ]-1)/(2-1))</f>
        <v>2.6560000000000001</v>
      </c>
      <c r="BA10" s="2">
        <f>Tabella9[[#This Row],[Φ_4]]+(Tabella11[[#This Row],[Φ_4]]-Tabella9[[#This Row],[Φ_4]])*((Tabella2[r = 1/λ]-1)/(2-1))</f>
        <v>2.3635000000000002</v>
      </c>
      <c r="BC10">
        <f>Tabella1[[#This Row],[Φ_3]]+(Tabella1[[#This Row],[Φ_4]]-Tabella1[[#This Row],[Φ_3]])*((Tabella3[[#This Row],[m_P]]-Tabella1[[#This Row],[m3]])/(Tabella1[[#This Row],[m4]]-Tabella1[[#This Row],[m3]]))</f>
        <v>2.3640542831927509</v>
      </c>
    </row>
    <row r="11" spans="1:55" x14ac:dyDescent="0.45">
      <c r="A11">
        <f t="shared" si="11"/>
        <v>4</v>
      </c>
      <c r="B11">
        <f>Tabella3[[#This Row],[α_abs]]+Tabella2[α0_w]*57.3-Tabella2[iw]*57.3</f>
        <v>1.331539</v>
      </c>
      <c r="C11">
        <f>Tabella3[[#This Row],[α_b]]+Tabella2[iw]*57.3</f>
        <v>2.8327990000000001</v>
      </c>
      <c r="D11">
        <v>9.8282834347781997E-2</v>
      </c>
      <c r="E11">
        <v>0.50853384821078196</v>
      </c>
      <c r="F11">
        <f>(Tabella2[d]*COS(Tabella2[φ]+Tabella2[iw]-Tabella2[α0_w]-A12/57.3))+(0.75*Tabella2[Cr]*COS(Tabella3[[#This Row],[α_abs]]/57.3+Tabella2[iw]))</f>
        <v>13.887929052756274</v>
      </c>
      <c r="G11">
        <f>(Tabella3[[#This Row],[X]]/Tabella2[b/2])*100</f>
        <v>102.64544754439227</v>
      </c>
      <c r="H11">
        <f>Tabella2[d]*SIN(Tabella2[φ]+Tabella2[iw]-Tabella2[α0_w]-A12/57.3)</f>
        <v>3.603869024669009</v>
      </c>
      <c r="I11">
        <f>Tabella3[[#This Row],[m]]/Tabella2[b/2]*100</f>
        <v>26.636134698218839</v>
      </c>
      <c r="J11">
        <f>Tabella14[[#This Row],[Φ_80]]</f>
        <v>2.3966976222683942</v>
      </c>
      <c r="K11">
        <f>Tabella3[[#This Row],[Φ]]*Tabella3[[#This Row],[CL]]</f>
        <v>1.2188018648497776</v>
      </c>
      <c r="L11">
        <f>(J12-Tabella3[[#This Row],[Φ]])/(B12-Tabella3[[#This Row],[α_b]])</f>
        <v>3.2880627638510067E-2</v>
      </c>
      <c r="M11">
        <f>Tabella3[[#This Row],[Φ]]*Tabella3[[#This Row],[CL_α]]+Tabella3[[#This Row],[CL]]*Tabella3[[#This Row],[dΦ/dα]]</f>
        <v>0.25227514749572488</v>
      </c>
      <c r="N11" s="2">
        <f>Tabella3[[#This Row],[dε/dα]]*Tabella3[[#This Row],[α_abs]]</f>
        <v>1.0091005899828995</v>
      </c>
      <c r="Q11">
        <v>-3.3</v>
      </c>
      <c r="R11">
        <f>Q11*Tabella3[[#This Row],[CL]]</f>
        <v>-1.6781616990955803</v>
      </c>
      <c r="S11">
        <f t="shared" si="0"/>
        <v>8.3218383009044192</v>
      </c>
      <c r="T11">
        <f t="shared" si="1"/>
        <v>-11.678161699095581</v>
      </c>
      <c r="U11">
        <f t="shared" si="2"/>
        <v>18.321838300904417</v>
      </c>
      <c r="V11">
        <f t="shared" si="3"/>
        <v>-21.678161699095583</v>
      </c>
      <c r="W11">
        <f t="shared" si="4"/>
        <v>28.321838300904417</v>
      </c>
      <c r="X11">
        <f t="shared" si="5"/>
        <v>-31.678161699095583</v>
      </c>
      <c r="AA11">
        <v>2.2000000000000002</v>
      </c>
      <c r="AB11">
        <v>2.0499999999999998</v>
      </c>
      <c r="AD11">
        <v>-5.2</v>
      </c>
      <c r="AE11">
        <f>AD11*Tabella3[[#This Row],[CL]]</f>
        <v>-2.6443760106960661</v>
      </c>
      <c r="AF11">
        <f t="shared" si="6"/>
        <v>7.3556239893039344</v>
      </c>
      <c r="AG11">
        <f t="shared" si="7"/>
        <v>-12.644376010696066</v>
      </c>
      <c r="AH11">
        <f t="shared" si="8"/>
        <v>17.355623989303936</v>
      </c>
      <c r="AI11">
        <f t="shared" si="9"/>
        <v>-22.644376010696064</v>
      </c>
      <c r="AJ11">
        <f>Tabella11[[#This Row],[m3]]+10</f>
        <v>27.355623989303936</v>
      </c>
      <c r="AK11">
        <f t="shared" si="10"/>
        <v>-32.644376010696064</v>
      </c>
      <c r="AN11">
        <v>3</v>
      </c>
      <c r="AO11">
        <v>2.6</v>
      </c>
      <c r="AQ11">
        <f>Tabella9[[#This Row],[m1]]+(Tabella11[[#This Row],[m1]]-Tabella9[[#This Row],[m1]])*((Tabella2[r = 1/λ]-1)/(2-1))</f>
        <v>-2.2289038567078574</v>
      </c>
      <c r="AR11">
        <f>Tabella9[[#This Row],[m2]]+(Tabella11[[#This Row],[m2]]-Tabella9[[#This Row],[m2]])*((Tabella2[r = 1/λ]-1)/(2-1))</f>
        <v>7.7710961432921426</v>
      </c>
      <c r="AS11">
        <f>Tabella9[[#This Row],[m2meno]]+(Tabella11[[#This Row],[m2meno]]-Tabella9[[#This Row],[m2meno]])*((Tabella2[r = 1/λ]-1)/(2-1))</f>
        <v>-12.228903856707857</v>
      </c>
      <c r="AT11">
        <f>Tabella9[[#This Row],[m3]]+(Tabella11[[#This Row],[m3]]-Tabella9[[#This Row],[m3]])*((Tabella2[r = 1/λ]-1)/(2-1))</f>
        <v>17.771096143292144</v>
      </c>
      <c r="AU11">
        <f>Tabella9[[#This Row],[m3meno]]+(Tabella11[[#This Row],[m3meno]]-Tabella9[[#This Row],[m3meno]])*((Tabella2[r = 1/λ]-1)/(2-1))</f>
        <v>-22.228903856707856</v>
      </c>
      <c r="AV11">
        <f>Tabella9[[#This Row],[m4]]+(Tabella11[[#This Row],[m4]]-Tabella9[[#This Row],[m4]])*((Tabella2[r = 1/λ]-1)/(2-1))</f>
        <v>27.771096143292144</v>
      </c>
      <c r="AW11">
        <f>Tabella9[[#This Row],[m4meno]]+(Tabella11[[#This Row],[m4meno]]-Tabella9[[#This Row],[m4meno]])*((Tabella2[r = 1/λ]-1)/(2-1))</f>
        <v>-32.228903856707859</v>
      </c>
      <c r="AX11" s="2">
        <f>Tabella9[[#This Row],[Φ_1]]+(Tabella11[[#This Row],[Φ_1]]-Tabella9[[#This Row],[Φ_1]])*((Tabella2[r = 1/λ]-1)/(2-1))</f>
        <v>0</v>
      </c>
      <c r="AY11" s="2">
        <f>Tabella9[[#This Row],[Φ_2]]+(Tabella11[[#This Row],[Φ_2]]-Tabella9[[#This Row],[Φ_2]])*((Tabella2[r = 1/λ]-1)/(2-1))</f>
        <v>0</v>
      </c>
      <c r="AZ11" s="2">
        <f>Tabella9[[#This Row],[Φ_3]]+(Tabella11[[#This Row],[Φ_3]]-Tabella9[[#This Row],[Φ_3]])*((Tabella2[r = 1/λ]-1)/(2-1))</f>
        <v>2.6560000000000001</v>
      </c>
      <c r="BA11" s="2">
        <f>Tabella9[[#This Row],[Φ_4]]+(Tabella11[[#This Row],[Φ_4]]-Tabella9[[#This Row],[Φ_4]])*((Tabella2[r = 1/λ]-1)/(2-1))</f>
        <v>2.3635000000000002</v>
      </c>
      <c r="BC11">
        <f>Tabella1[[#This Row],[Φ_3]]+(Tabella1[[#This Row],[Φ_4]]-Tabella1[[#This Row],[Φ_3]])*((Tabella3[[#This Row],[m_P]]-Tabella1[[#This Row],[m3]])/(Tabella1[[#This Row],[m4]]-Tabella1[[#This Row],[m3]]))</f>
        <v>2.3966976222683942</v>
      </c>
    </row>
    <row r="12" spans="1:55" x14ac:dyDescent="0.45">
      <c r="A12">
        <f t="shared" si="11"/>
        <v>5</v>
      </c>
      <c r="B12">
        <f>Tabella3[[#This Row],[α_abs]]+Tabella2[α0_w]*57.3-Tabella2[iw]*57.3</f>
        <v>2.3315390000000003</v>
      </c>
      <c r="C12">
        <f>Tabella3[[#This Row],[α_b]]+Tabella2[iw]*57.3</f>
        <v>3.8327990000000005</v>
      </c>
      <c r="D12">
        <v>9.8282834347781997E-2</v>
      </c>
      <c r="E12">
        <v>0.60681668255856303</v>
      </c>
      <c r="F12">
        <f>(Tabella2[d]*COS(Tabella2[φ]+Tabella2[iw]-Tabella2[α0_w]-A13/57.3))+(0.75*Tabella2[Cr]*COS(Tabella3[[#This Row],[α_abs]]/57.3+Tabella2[iw]))</f>
        <v>13.945572843588707</v>
      </c>
      <c r="G12">
        <f>(Tabella3[[#This Row],[X]]/Tabella2[b/2])*100</f>
        <v>103.07149182253295</v>
      </c>
      <c r="H12">
        <f>Tabella2[d]*SIN(Tabella2[φ]+Tabella2[iw]-Tabella2[α0_w]-A13/57.3)</f>
        <v>3.3934913679188523</v>
      </c>
      <c r="I12">
        <f>Tabella3[[#This Row],[m]]/Tabella2[b/2]*100</f>
        <v>25.081237013443108</v>
      </c>
      <c r="J12">
        <f>Tabella14[[#This Row],[Φ_80]]</f>
        <v>2.4295782499069043</v>
      </c>
      <c r="K12">
        <f>Tabella3[[#This Row],[Φ]]*Tabella3[[#This Row],[CL]]</f>
        <v>1.474308613624947</v>
      </c>
      <c r="L12">
        <f>(J13-Tabella3[[#This Row],[Φ]])/(B13-Tabella3[[#This Row],[α_b]])</f>
        <v>3.310406436284688E-2</v>
      </c>
      <c r="M12">
        <f>Tabella3[[#This Row],[Φ]]*Tabella3[[#This Row],[CL_α]]+Tabella3[[#This Row],[CL]]*Tabella3[[#This Row],[dΦ/dα]]</f>
        <v>0.25887393518644225</v>
      </c>
      <c r="N12" s="2">
        <f>Tabella3[[#This Row],[dε/dα]]*Tabella3[[#This Row],[α_abs]]</f>
        <v>1.2943696759322112</v>
      </c>
      <c r="Q12">
        <v>-3.3</v>
      </c>
      <c r="R12">
        <f>Q12*Tabella3[[#This Row],[CL]]</f>
        <v>-2.0024950524432579</v>
      </c>
      <c r="S12">
        <f t="shared" si="0"/>
        <v>7.9975049475567417</v>
      </c>
      <c r="T12">
        <f t="shared" si="1"/>
        <v>-12.002495052443258</v>
      </c>
      <c r="U12">
        <f t="shared" si="2"/>
        <v>17.997504947556742</v>
      </c>
      <c r="V12">
        <f t="shared" si="3"/>
        <v>-22.002495052443258</v>
      </c>
      <c r="W12">
        <f t="shared" si="4"/>
        <v>27.997504947556742</v>
      </c>
      <c r="X12">
        <f t="shared" si="5"/>
        <v>-32.002495052443258</v>
      </c>
      <c r="AA12">
        <v>2.2000000000000002</v>
      </c>
      <c r="AB12">
        <v>2.0499999999999998</v>
      </c>
      <c r="AD12">
        <v>-5.2</v>
      </c>
      <c r="AE12">
        <f>AD12*Tabella3[[#This Row],[CL]]</f>
        <v>-3.1554467493045277</v>
      </c>
      <c r="AF12">
        <f t="shared" si="6"/>
        <v>6.8445532506954727</v>
      </c>
      <c r="AG12">
        <f t="shared" si="7"/>
        <v>-13.155446749304527</v>
      </c>
      <c r="AH12">
        <f t="shared" si="8"/>
        <v>16.844553250695473</v>
      </c>
      <c r="AI12">
        <f t="shared" si="9"/>
        <v>-23.155446749304527</v>
      </c>
      <c r="AJ12">
        <f>Tabella11[[#This Row],[m3]]+10</f>
        <v>26.844553250695473</v>
      </c>
      <c r="AK12">
        <f t="shared" si="10"/>
        <v>-33.155446749304531</v>
      </c>
      <c r="AN12">
        <v>3</v>
      </c>
      <c r="AO12">
        <v>2.6</v>
      </c>
      <c r="AQ12">
        <f>Tabella9[[#This Row],[m1]]+(Tabella11[[#This Row],[m1]]-Tabella9[[#This Row],[m1]])*((Tabella2[r = 1/λ]-1)/(2-1))</f>
        <v>-2.6596775196541818</v>
      </c>
      <c r="AR12">
        <f>Tabella9[[#This Row],[m2]]+(Tabella11[[#This Row],[m2]]-Tabella9[[#This Row],[m2]])*((Tabella2[r = 1/λ]-1)/(2-1))</f>
        <v>7.3403224803458187</v>
      </c>
      <c r="AS12">
        <f>Tabella9[[#This Row],[m2meno]]+(Tabella11[[#This Row],[m2meno]]-Tabella9[[#This Row],[m2meno]])*((Tabella2[r = 1/λ]-1)/(2-1))</f>
        <v>-12.659677519654181</v>
      </c>
      <c r="AT12">
        <f>Tabella9[[#This Row],[m3]]+(Tabella11[[#This Row],[m3]]-Tabella9[[#This Row],[m3]])*((Tabella2[r = 1/λ]-1)/(2-1))</f>
        <v>17.340322480345819</v>
      </c>
      <c r="AU12">
        <f>Tabella9[[#This Row],[m3meno]]+(Tabella11[[#This Row],[m3meno]]-Tabella9[[#This Row],[m3meno]])*((Tabella2[r = 1/λ]-1)/(2-1))</f>
        <v>-22.659677519654181</v>
      </c>
      <c r="AV12">
        <f>Tabella9[[#This Row],[m4]]+(Tabella11[[#This Row],[m4]]-Tabella9[[#This Row],[m4]])*((Tabella2[r = 1/λ]-1)/(2-1))</f>
        <v>27.340322480345819</v>
      </c>
      <c r="AW12">
        <f>Tabella9[[#This Row],[m4meno]]+(Tabella11[[#This Row],[m4meno]]-Tabella9[[#This Row],[m4meno]])*((Tabella2[r = 1/λ]-1)/(2-1))</f>
        <v>-32.659677519654181</v>
      </c>
      <c r="AX12" s="2">
        <f>Tabella9[[#This Row],[Φ_1]]+(Tabella11[[#This Row],[Φ_1]]-Tabella9[[#This Row],[Φ_1]])*((Tabella2[r = 1/λ]-1)/(2-1))</f>
        <v>0</v>
      </c>
      <c r="AY12" s="2">
        <f>Tabella9[[#This Row],[Φ_2]]+(Tabella11[[#This Row],[Φ_2]]-Tabella9[[#This Row],[Φ_2]])*((Tabella2[r = 1/λ]-1)/(2-1))</f>
        <v>0</v>
      </c>
      <c r="AZ12" s="2">
        <f>Tabella9[[#This Row],[Φ_3]]+(Tabella11[[#This Row],[Φ_3]]-Tabella9[[#This Row],[Φ_3]])*((Tabella2[r = 1/λ]-1)/(2-1))</f>
        <v>2.6560000000000001</v>
      </c>
      <c r="BA12" s="2">
        <f>Tabella9[[#This Row],[Φ_4]]+(Tabella11[[#This Row],[Φ_4]]-Tabella9[[#This Row],[Φ_4]])*((Tabella2[r = 1/λ]-1)/(2-1))</f>
        <v>2.3635000000000002</v>
      </c>
      <c r="BC12">
        <f>Tabella1[[#This Row],[Φ_3]]+(Tabella1[[#This Row],[Φ_4]]-Tabella1[[#This Row],[Φ_3]])*((Tabella3[[#This Row],[m_P]]-Tabella1[[#This Row],[m3]])/(Tabella1[[#This Row],[m4]]-Tabella1[[#This Row],[m3]]))</f>
        <v>2.4295782499069043</v>
      </c>
    </row>
    <row r="13" spans="1:55" x14ac:dyDescent="0.45">
      <c r="A13">
        <f t="shared" si="11"/>
        <v>6</v>
      </c>
      <c r="B13">
        <f>Tabella3[[#This Row],[α_abs]]+Tabella2[α0_w]*57.3-Tabella2[iw]*57.3</f>
        <v>3.3315389999999994</v>
      </c>
      <c r="C13">
        <f>Tabella3[[#This Row],[α_b]]+Tabella2[iw]*57.3</f>
        <v>4.8327989999999996</v>
      </c>
      <c r="D13">
        <v>9.8282834347779194E-2</v>
      </c>
      <c r="E13">
        <v>0.70509951690631101</v>
      </c>
      <c r="F13">
        <f>(Tabella2[d]*COS(Tabella2[φ]+Tabella2[iw]-Tabella2[α0_w]-A14/57.3))+(0.75*Tabella2[Cr]*COS(Tabella3[[#This Row],[α_abs]]/57.3+Tabella2[iw]))</f>
        <v>13.99896930357496</v>
      </c>
      <c r="G13">
        <f>(Tabella3[[#This Row],[X]]/Tabella2[b/2])*100</f>
        <v>103.46614415059099</v>
      </c>
      <c r="H13">
        <f>Tabella2[d]*SIN(Tabella2[φ]+Tabella2[iw]-Tabella2[α0_w]-A14/57.3)</f>
        <v>3.1820801730899899</v>
      </c>
      <c r="I13">
        <f>Tabella3[[#This Row],[m]]/Tabella2[b/2]*100</f>
        <v>23.518700466297044</v>
      </c>
      <c r="J13">
        <f>Tabella14[[#This Row],[Φ_80]]</f>
        <v>2.4626823142697511</v>
      </c>
      <c r="K13">
        <f>Tabella3[[#This Row],[Φ]]*Tabella3[[#This Row],[CL]]</f>
        <v>1.7364361100853176</v>
      </c>
      <c r="L13">
        <f>(J14-Tabella3[[#This Row],[Φ]])/(B14-Tabella3[[#This Row],[α_b]])</f>
        <v>3.3313581198390452E-2</v>
      </c>
      <c r="M13">
        <f>Tabella3[[#This Row],[Φ]]*Tabella3[[#This Row],[CL_α]]+Tabella3[[#This Row],[CL]]*Tabella3[[#This Row],[dΦ/dα]]</f>
        <v>0.26552878795398371</v>
      </c>
      <c r="N13" s="2">
        <f>Tabella3[[#This Row],[dε/dα]]*Tabella3[[#This Row],[α_abs]]</f>
        <v>1.5931727277239023</v>
      </c>
      <c r="Q13">
        <v>-3.3</v>
      </c>
      <c r="R13">
        <f>Q13*Tabella3[[#This Row],[CL]]</f>
        <v>-2.3268284057908262</v>
      </c>
      <c r="S13">
        <f t="shared" si="0"/>
        <v>7.6731715942091743</v>
      </c>
      <c r="T13">
        <f t="shared" si="1"/>
        <v>-12.326828405790826</v>
      </c>
      <c r="U13">
        <f t="shared" si="2"/>
        <v>17.673171594209172</v>
      </c>
      <c r="V13">
        <f t="shared" si="3"/>
        <v>-22.326828405790828</v>
      </c>
      <c r="W13">
        <f t="shared" si="4"/>
        <v>27.673171594209172</v>
      </c>
      <c r="X13">
        <f t="shared" si="5"/>
        <v>-32.326828405790828</v>
      </c>
      <c r="AA13">
        <v>2.2000000000000002</v>
      </c>
      <c r="AB13">
        <v>2.0499999999999998</v>
      </c>
      <c r="AD13">
        <v>-5.2</v>
      </c>
      <c r="AE13">
        <f>AD13*Tabella3[[#This Row],[CL]]</f>
        <v>-3.6665174879128175</v>
      </c>
      <c r="AF13">
        <f t="shared" si="6"/>
        <v>6.3334825120871825</v>
      </c>
      <c r="AG13">
        <f t="shared" si="7"/>
        <v>-13.666517487912817</v>
      </c>
      <c r="AH13">
        <f t="shared" si="8"/>
        <v>16.333482512087183</v>
      </c>
      <c r="AI13">
        <f t="shared" si="9"/>
        <v>-23.666517487912817</v>
      </c>
      <c r="AJ13">
        <f>Tabella11[[#This Row],[m3]]+10</f>
        <v>26.333482512087183</v>
      </c>
      <c r="AK13">
        <f t="shared" si="10"/>
        <v>-33.666517487912813</v>
      </c>
      <c r="AN13">
        <v>3</v>
      </c>
      <c r="AO13">
        <v>2.6</v>
      </c>
      <c r="AQ13">
        <f>Tabella9[[#This Row],[m1]]+(Tabella11[[#This Row],[m1]]-Tabella9[[#This Row],[m1]])*((Tabella2[r = 1/λ]-1)/(2-1))</f>
        <v>-3.0904511826003613</v>
      </c>
      <c r="AR13">
        <f>Tabella9[[#This Row],[m2]]+(Tabella11[[#This Row],[m2]]-Tabella9[[#This Row],[m2]])*((Tabella2[r = 1/λ]-1)/(2-1))</f>
        <v>6.9095488173996387</v>
      </c>
      <c r="AS13">
        <f>Tabella9[[#This Row],[m2meno]]+(Tabella11[[#This Row],[m2meno]]-Tabella9[[#This Row],[m2meno]])*((Tabella2[r = 1/λ]-1)/(2-1))</f>
        <v>-13.090451182600361</v>
      </c>
      <c r="AT13">
        <f>Tabella9[[#This Row],[m3]]+(Tabella11[[#This Row],[m3]]-Tabella9[[#This Row],[m3]])*((Tabella2[r = 1/λ]-1)/(2-1))</f>
        <v>16.909548817399639</v>
      </c>
      <c r="AU13">
        <f>Tabella9[[#This Row],[m3meno]]+(Tabella11[[#This Row],[m3meno]]-Tabella9[[#This Row],[m3meno]])*((Tabella2[r = 1/λ]-1)/(2-1))</f>
        <v>-23.090451182600361</v>
      </c>
      <c r="AV13">
        <f>Tabella9[[#This Row],[m4]]+(Tabella11[[#This Row],[m4]]-Tabella9[[#This Row],[m4]])*((Tabella2[r = 1/λ]-1)/(2-1))</f>
        <v>26.909548817399639</v>
      </c>
      <c r="AW13">
        <f>Tabella9[[#This Row],[m4meno]]+(Tabella11[[#This Row],[m4meno]]-Tabella9[[#This Row],[m4meno]])*((Tabella2[r = 1/λ]-1)/(2-1))</f>
        <v>-33.090451182600361</v>
      </c>
      <c r="AX13" s="2">
        <f>Tabella9[[#This Row],[Φ_1]]+(Tabella11[[#This Row],[Φ_1]]-Tabella9[[#This Row],[Φ_1]])*((Tabella2[r = 1/λ]-1)/(2-1))</f>
        <v>0</v>
      </c>
      <c r="AY13" s="2">
        <f>Tabella9[[#This Row],[Φ_2]]+(Tabella11[[#This Row],[Φ_2]]-Tabella9[[#This Row],[Φ_2]])*((Tabella2[r = 1/λ]-1)/(2-1))</f>
        <v>0</v>
      </c>
      <c r="AZ13" s="2">
        <f>Tabella9[[#This Row],[Φ_3]]+(Tabella11[[#This Row],[Φ_3]]-Tabella9[[#This Row],[Φ_3]])*((Tabella2[r = 1/λ]-1)/(2-1))</f>
        <v>2.6560000000000001</v>
      </c>
      <c r="BA13" s="2">
        <f>Tabella9[[#This Row],[Φ_4]]+(Tabella11[[#This Row],[Φ_4]]-Tabella9[[#This Row],[Φ_4]])*((Tabella2[r = 1/λ]-1)/(2-1))</f>
        <v>2.3635000000000002</v>
      </c>
      <c r="BC13">
        <f>Tabella1[[#This Row],[Φ_3]]+(Tabella1[[#This Row],[Φ_4]]-Tabella1[[#This Row],[Φ_3]])*((Tabella3[[#This Row],[m_P]]-Tabella1[[#This Row],[m3]])/(Tabella1[[#This Row],[m4]]-Tabella1[[#This Row],[m3]]))</f>
        <v>2.4626823142697511</v>
      </c>
    </row>
    <row r="14" spans="1:55" x14ac:dyDescent="0.45">
      <c r="A14">
        <f t="shared" si="11"/>
        <v>7</v>
      </c>
      <c r="B14">
        <f>Tabella3[[#This Row],[α_abs]]+Tabella2[α0_w]*57.3-Tabella2[iw]*57.3</f>
        <v>4.3315389999999994</v>
      </c>
      <c r="C14">
        <f>Tabella3[[#This Row],[α_b]]+Tabella2[iw]*57.3</f>
        <v>5.8327989999999996</v>
      </c>
      <c r="D14">
        <v>9.8282834347227094E-2</v>
      </c>
      <c r="E14">
        <v>0.80338235124850899</v>
      </c>
      <c r="F14">
        <f>(Tabella2[d]*COS(Tabella2[φ]+Tabella2[iw]-Tabella2[α0_w]-A15/57.3))+(0.75*Tabella2[Cr]*COS(Tabella3[[#This Row],[α_abs]]/57.3+Tabella2[iw]))</f>
        <v>14.048102170031942</v>
      </c>
      <c r="G14">
        <f>(Tabella3[[#This Row],[X]]/Tabella2[b/2])*100</f>
        <v>103.82928433135213</v>
      </c>
      <c r="H14">
        <f>Tabella2[d]*SIN(Tabella2[φ]+Tabella2[iw]-Tabella2[α0_w]-A15/57.3)</f>
        <v>2.9696998285943637</v>
      </c>
      <c r="I14">
        <f>Tabella3[[#This Row],[m]]/Tabella2[b/2]*100</f>
        <v>21.949000950438759</v>
      </c>
      <c r="J14">
        <f>Tabella14[[#This Row],[Φ_80]]</f>
        <v>2.4959958954681416</v>
      </c>
      <c r="K14">
        <f>Tabella3[[#This Row],[Φ]]*Tabella3[[#This Row],[CL]]</f>
        <v>2.0052390512078233</v>
      </c>
      <c r="L14">
        <f>(J15-Tabella3[[#This Row],[Φ]])/(B15-Tabella3[[#This Row],[α_b]])</f>
        <v>3.3509114441924837E-2</v>
      </c>
      <c r="M14">
        <f>Tabella3[[#This Row],[Φ]]*Tabella3[[#This Row],[CL_α]]+Tabella3[[#This Row],[CL]]*Tabella3[[#This Row],[dΦ/dα]]</f>
        <v>0.27223418227426305</v>
      </c>
      <c r="N14" s="2">
        <f>Tabella3[[#This Row],[dε/dα]]*Tabella3[[#This Row],[α_abs]]</f>
        <v>1.9056392759198413</v>
      </c>
      <c r="Q14">
        <v>-3.3</v>
      </c>
      <c r="R14">
        <f>Q14*Tabella3[[#This Row],[CL]]</f>
        <v>-2.6511617591200793</v>
      </c>
      <c r="S14">
        <f t="shared" si="0"/>
        <v>7.3488382408799211</v>
      </c>
      <c r="T14">
        <f t="shared" si="1"/>
        <v>-12.651161759120079</v>
      </c>
      <c r="U14">
        <f t="shared" si="2"/>
        <v>17.348838240879921</v>
      </c>
      <c r="V14">
        <f t="shared" si="3"/>
        <v>-22.651161759120079</v>
      </c>
      <c r="W14">
        <f t="shared" si="4"/>
        <v>27.348838240879921</v>
      </c>
      <c r="X14">
        <f t="shared" si="5"/>
        <v>-32.651161759120079</v>
      </c>
      <c r="AA14">
        <v>2.2000000000000002</v>
      </c>
      <c r="AB14">
        <v>2.0499999999999998</v>
      </c>
      <c r="AD14">
        <v>-5.2</v>
      </c>
      <c r="AE14">
        <f>AD14*Tabella3[[#This Row],[CL]]</f>
        <v>-4.1775882264922473</v>
      </c>
      <c r="AF14">
        <f t="shared" si="6"/>
        <v>5.8224117735077527</v>
      </c>
      <c r="AG14">
        <f t="shared" si="7"/>
        <v>-14.177588226492247</v>
      </c>
      <c r="AH14">
        <f t="shared" si="8"/>
        <v>15.822411773507753</v>
      </c>
      <c r="AI14">
        <f t="shared" si="9"/>
        <v>-24.177588226492247</v>
      </c>
      <c r="AJ14">
        <f>Tabella11[[#This Row],[m3]]+10</f>
        <v>25.822411773507753</v>
      </c>
      <c r="AK14">
        <f t="shared" si="10"/>
        <v>-34.177588226492247</v>
      </c>
      <c r="AN14">
        <v>3</v>
      </c>
      <c r="AO14">
        <v>2.6</v>
      </c>
      <c r="AQ14">
        <f>Tabella9[[#This Row],[m1]]+(Tabella11[[#This Row],[m1]]-Tabella9[[#This Row],[m1]])*((Tabella2[r = 1/λ]-1)/(2-1))</f>
        <v>-3.521224845522215</v>
      </c>
      <c r="AR14">
        <f>Tabella9[[#This Row],[m2]]+(Tabella11[[#This Row],[m2]]-Tabella9[[#This Row],[m2]])*((Tabella2[r = 1/λ]-1)/(2-1))</f>
        <v>6.478775154477785</v>
      </c>
      <c r="AS14">
        <f>Tabella9[[#This Row],[m2meno]]+(Tabella11[[#This Row],[m2meno]]-Tabella9[[#This Row],[m2meno]])*((Tabella2[r = 1/λ]-1)/(2-1))</f>
        <v>-13.521224845522214</v>
      </c>
      <c r="AT14">
        <f>Tabella9[[#This Row],[m3]]+(Tabella11[[#This Row],[m3]]-Tabella9[[#This Row],[m3]])*((Tabella2[r = 1/λ]-1)/(2-1))</f>
        <v>16.478775154477784</v>
      </c>
      <c r="AU14">
        <f>Tabella9[[#This Row],[m3meno]]+(Tabella11[[#This Row],[m3meno]]-Tabella9[[#This Row],[m3meno]])*((Tabella2[r = 1/λ]-1)/(2-1))</f>
        <v>-23.521224845522216</v>
      </c>
      <c r="AV14">
        <f>Tabella9[[#This Row],[m4]]+(Tabella11[[#This Row],[m4]]-Tabella9[[#This Row],[m4]])*((Tabella2[r = 1/λ]-1)/(2-1))</f>
        <v>26.478775154477784</v>
      </c>
      <c r="AW14">
        <f>Tabella9[[#This Row],[m4meno]]+(Tabella11[[#This Row],[m4meno]]-Tabella9[[#This Row],[m4meno]])*((Tabella2[r = 1/λ]-1)/(2-1))</f>
        <v>-33.521224845522212</v>
      </c>
      <c r="AX14" s="2">
        <f>Tabella9[[#This Row],[Φ_1]]+(Tabella11[[#This Row],[Φ_1]]-Tabella9[[#This Row],[Φ_1]])*((Tabella2[r = 1/λ]-1)/(2-1))</f>
        <v>0</v>
      </c>
      <c r="AY14" s="2">
        <f>Tabella9[[#This Row],[Φ_2]]+(Tabella11[[#This Row],[Φ_2]]-Tabella9[[#This Row],[Φ_2]])*((Tabella2[r = 1/λ]-1)/(2-1))</f>
        <v>0</v>
      </c>
      <c r="AZ14" s="2">
        <f>Tabella9[[#This Row],[Φ_3]]+(Tabella11[[#This Row],[Φ_3]]-Tabella9[[#This Row],[Φ_3]])*((Tabella2[r = 1/λ]-1)/(2-1))</f>
        <v>2.6560000000000001</v>
      </c>
      <c r="BA14" s="2">
        <f>Tabella9[[#This Row],[Φ_4]]+(Tabella11[[#This Row],[Φ_4]]-Tabella9[[#This Row],[Φ_4]])*((Tabella2[r = 1/λ]-1)/(2-1))</f>
        <v>2.3635000000000002</v>
      </c>
      <c r="BC14">
        <f>Tabella1[[#This Row],[Φ_3]]+(Tabella1[[#This Row],[Φ_4]]-Tabella1[[#This Row],[Φ_3]])*((Tabella3[[#This Row],[m_P]]-Tabella1[[#This Row],[m3]])/(Tabella1[[#This Row],[m4]]-Tabella1[[#This Row],[m3]]))</f>
        <v>2.4959958954681416</v>
      </c>
    </row>
    <row r="15" spans="1:55" x14ac:dyDescent="0.45">
      <c r="A15">
        <f t="shared" si="11"/>
        <v>8</v>
      </c>
      <c r="B15">
        <f>Tabella3[[#This Row],[α_abs]]+Tabella2[α0_w]*57.3-Tabella2[iw]*57.3</f>
        <v>5.3315389999999994</v>
      </c>
      <c r="C15">
        <f>Tabella3[[#This Row],[α_b]]+Tabella2[iw]*57.3</f>
        <v>6.8327989999999996</v>
      </c>
      <c r="D15">
        <v>9.8282834239803205E-2</v>
      </c>
      <c r="E15">
        <v>0.90166518473535795</v>
      </c>
      <c r="F15">
        <f>(Tabella2[d]*COS(Tabella2[φ]+Tabella2[iw]-Tabella2[α0_w]-A16/57.3))+(0.75*Tabella2[Cr]*COS(Tabella3[[#This Row],[α_abs]]/57.3+Tabella2[iw]))</f>
        <v>14.092956478817165</v>
      </c>
      <c r="G15">
        <f>(Tabella3[[#This Row],[X]]/Tabella2[b/2])*100</f>
        <v>104.16080176509361</v>
      </c>
      <c r="H15">
        <f>Tabella2[d]*SIN(Tabella2[φ]+Tabella2[iw]-Tabella2[α0_w]-A16/57.3)</f>
        <v>2.7564150180128082</v>
      </c>
      <c r="I15">
        <f>Tabella3[[#This Row],[m]]/Tabella2[b/2]*100</f>
        <v>20.372616541114621</v>
      </c>
      <c r="J15">
        <f>Tabella14[[#This Row],[Φ_80]]</f>
        <v>2.5295050099100664</v>
      </c>
      <c r="K15">
        <f>Tabella3[[#This Row],[Φ]]*Tabella3[[#This Row],[CL]]</f>
        <v>2.2807666020495736</v>
      </c>
      <c r="L15">
        <f>(J16-Tabella3[[#This Row],[Φ]])/(B16-Tabella3[[#This Row],[α_b]])</f>
        <v>3.3690620091741952E-2</v>
      </c>
      <c r="M15">
        <f>Tabella3[[#This Row],[Φ]]*Tabella3[[#This Row],[CL_α]]+Tabella3[[#This Row],[CL]]*Tabella3[[#This Row],[dΦ/dα]]</f>
        <v>0.27898458078661209</v>
      </c>
      <c r="N15" s="2">
        <f>Tabella3[[#This Row],[dε/dα]]*Tabella3[[#This Row],[α_abs]]</f>
        <v>2.2318766462928967</v>
      </c>
      <c r="Q15">
        <v>-3.3</v>
      </c>
      <c r="R15">
        <f>Q15*Tabella3[[#This Row],[CL]]</f>
        <v>-2.9754951096266811</v>
      </c>
      <c r="S15">
        <f t="shared" si="0"/>
        <v>7.0245048903733185</v>
      </c>
      <c r="T15">
        <f t="shared" si="1"/>
        <v>-12.975495109626682</v>
      </c>
      <c r="U15">
        <f t="shared" si="2"/>
        <v>17.024504890373318</v>
      </c>
      <c r="V15">
        <f t="shared" si="3"/>
        <v>-22.975495109626682</v>
      </c>
      <c r="W15">
        <f t="shared" si="4"/>
        <v>27.024504890373318</v>
      </c>
      <c r="X15">
        <f t="shared" si="5"/>
        <v>-32.975495109626678</v>
      </c>
      <c r="AA15">
        <v>2.2000000000000002</v>
      </c>
      <c r="AB15">
        <v>2.0499999999999998</v>
      </c>
      <c r="AD15">
        <v>-5.2</v>
      </c>
      <c r="AE15">
        <f>AD15*Tabella3[[#This Row],[CL]]</f>
        <v>-4.6886589606238616</v>
      </c>
      <c r="AF15">
        <f t="shared" si="6"/>
        <v>5.3113410393761384</v>
      </c>
      <c r="AG15">
        <f t="shared" si="7"/>
        <v>-14.688658960623862</v>
      </c>
      <c r="AH15">
        <f t="shared" si="8"/>
        <v>15.311341039376138</v>
      </c>
      <c r="AI15">
        <f t="shared" si="9"/>
        <v>-24.688658960623862</v>
      </c>
      <c r="AJ15">
        <f>Tabella11[[#This Row],[m3]]+10</f>
        <v>25.311341039376138</v>
      </c>
      <c r="AK15">
        <f t="shared" si="10"/>
        <v>-34.688658960623862</v>
      </c>
      <c r="AN15">
        <v>3</v>
      </c>
      <c r="AO15">
        <v>2.6</v>
      </c>
      <c r="AQ15">
        <f>Tabella9[[#This Row],[m1]]+(Tabella11[[#This Row],[m1]]-Tabella9[[#This Row],[m1]])*((Tabella2[r = 1/λ]-1)/(2-1))</f>
        <v>-3.9519985046950739</v>
      </c>
      <c r="AR15">
        <f>Tabella9[[#This Row],[m2]]+(Tabella11[[#This Row],[m2]]-Tabella9[[#This Row],[m2]])*((Tabella2[r = 1/λ]-1)/(2-1))</f>
        <v>6.0480014953049253</v>
      </c>
      <c r="AS15">
        <f>Tabella9[[#This Row],[m2meno]]+(Tabella11[[#This Row],[m2meno]]-Tabella9[[#This Row],[m2meno]])*((Tabella2[r = 1/λ]-1)/(2-1))</f>
        <v>-13.951998504695075</v>
      </c>
      <c r="AT15">
        <f>Tabella9[[#This Row],[m3]]+(Tabella11[[#This Row],[m3]]-Tabella9[[#This Row],[m3]])*((Tabella2[r = 1/λ]-1)/(2-1))</f>
        <v>16.048001495304927</v>
      </c>
      <c r="AU15">
        <f>Tabella9[[#This Row],[m3meno]]+(Tabella11[[#This Row],[m3meno]]-Tabella9[[#This Row],[m3meno]])*((Tabella2[r = 1/λ]-1)/(2-1))</f>
        <v>-23.951998504695073</v>
      </c>
      <c r="AV15">
        <f>Tabella9[[#This Row],[m4]]+(Tabella11[[#This Row],[m4]]-Tabella9[[#This Row],[m4]])*((Tabella2[r = 1/λ]-1)/(2-1))</f>
        <v>26.048001495304927</v>
      </c>
      <c r="AW15">
        <f>Tabella9[[#This Row],[m4meno]]+(Tabella11[[#This Row],[m4meno]]-Tabella9[[#This Row],[m4meno]])*((Tabella2[r = 1/λ]-1)/(2-1))</f>
        <v>-33.951998504695069</v>
      </c>
      <c r="AX15" s="2">
        <f>Tabella9[[#This Row],[Φ_1]]+(Tabella11[[#This Row],[Φ_1]]-Tabella9[[#This Row],[Φ_1]])*((Tabella2[r = 1/λ]-1)/(2-1))</f>
        <v>0</v>
      </c>
      <c r="AY15" s="2">
        <f>Tabella9[[#This Row],[Φ_2]]+(Tabella11[[#This Row],[Φ_2]]-Tabella9[[#This Row],[Φ_2]])*((Tabella2[r = 1/λ]-1)/(2-1))</f>
        <v>0</v>
      </c>
      <c r="AZ15" s="2">
        <f>Tabella9[[#This Row],[Φ_3]]+(Tabella11[[#This Row],[Φ_3]]-Tabella9[[#This Row],[Φ_3]])*((Tabella2[r = 1/λ]-1)/(2-1))</f>
        <v>2.6560000000000001</v>
      </c>
      <c r="BA15" s="2">
        <f>Tabella9[[#This Row],[Φ_4]]+(Tabella11[[#This Row],[Φ_4]]-Tabella9[[#This Row],[Φ_4]])*((Tabella2[r = 1/λ]-1)/(2-1))</f>
        <v>2.3635000000000002</v>
      </c>
      <c r="BC15">
        <f>Tabella1[[#This Row],[Φ_3]]+(Tabella1[[#This Row],[Φ_4]]-Tabella1[[#This Row],[Φ_3]])*((Tabella3[[#This Row],[m_P]]-Tabella1[[#This Row],[m3]])/(Tabella1[[#This Row],[m4]]-Tabella1[[#This Row],[m3]]))</f>
        <v>2.5295050099100664</v>
      </c>
    </row>
    <row r="16" spans="1:55" x14ac:dyDescent="0.45">
      <c r="A16">
        <f t="shared" si="11"/>
        <v>9</v>
      </c>
      <c r="B16">
        <f>Tabella3[[#This Row],[α_abs]]+Tabella2[α0_w]*57.3-Tabella2[iw]*57.3</f>
        <v>6.3315389999999994</v>
      </c>
      <c r="C16">
        <f>Tabella3[[#This Row],[α_b]]+Tabella2[iw]*57.3</f>
        <v>7.8327989999999996</v>
      </c>
      <c r="D16">
        <v>9.8282813863925997E-2</v>
      </c>
      <c r="E16">
        <v>0.99994789521852601</v>
      </c>
      <c r="F16">
        <f>(Tabella2[d]*COS(Tabella2[φ]+Tabella2[iw]-Tabella2[α0_w]-A17/57.3))+(0.75*Tabella2[Cr]*COS(Tabella3[[#This Row],[α_abs]]/57.3+Tabella2[iw]))</f>
        <v>14.133518568886256</v>
      </c>
      <c r="G16">
        <f>(Tabella3[[#This Row],[X]]/Tabella2[b/2])*100</f>
        <v>104.46059548326872</v>
      </c>
      <c r="H16">
        <f>Tabella2[d]*SIN(Tabella2[φ]+Tabella2[iw]-Tabella2[α0_w]-A17/57.3)</f>
        <v>2.542290700394704</v>
      </c>
      <c r="I16">
        <f>Tabella3[[#This Row],[m]]/Tabella2[b/2]*100</f>
        <v>18.790027349554354</v>
      </c>
      <c r="J16">
        <f>Tabella14[[#This Row],[Φ_80]]</f>
        <v>2.5631956300018084</v>
      </c>
      <c r="K16">
        <f>Tabella3[[#This Row],[Φ]]*Tabella3[[#This Row],[CL]]</f>
        <v>2.5630620752536322</v>
      </c>
      <c r="L16">
        <f>(J17-Tabella3[[#This Row],[Φ]])/(B17-Tabella3[[#This Row],[α_b]])</f>
        <v>3.3831849446734452E-2</v>
      </c>
      <c r="M16">
        <f>Tabella3[[#This Row],[Φ]]*Tabella3[[#This Row],[CL_α]]+Tabella3[[#This Row],[CL]]*Tabella3[[#This Row],[dΦ/dα]]</f>
        <v>0.28574816564590844</v>
      </c>
      <c r="N16" s="2">
        <f>Tabella3[[#This Row],[dε/dα]]*Tabella3[[#This Row],[α_abs]]</f>
        <v>2.5717334908131759</v>
      </c>
      <c r="Q16">
        <v>-3.3</v>
      </c>
      <c r="R16">
        <f>Q16*Tabella3[[#This Row],[CL]]</f>
        <v>-3.2998280542211358</v>
      </c>
      <c r="S16">
        <f t="shared" si="0"/>
        <v>6.7001719457788642</v>
      </c>
      <c r="T16">
        <f t="shared" si="1"/>
        <v>-13.299828054221136</v>
      </c>
      <c r="U16">
        <f t="shared" si="2"/>
        <v>16.700171945778862</v>
      </c>
      <c r="V16">
        <f t="shared" si="3"/>
        <v>-23.299828054221138</v>
      </c>
      <c r="W16">
        <f t="shared" si="4"/>
        <v>26.700171945778862</v>
      </c>
      <c r="X16">
        <f t="shared" si="5"/>
        <v>-33.299828054221138</v>
      </c>
      <c r="AA16">
        <v>2.2000000000000002</v>
      </c>
      <c r="AB16">
        <v>2.0499999999999998</v>
      </c>
      <c r="AD16">
        <v>-5.2</v>
      </c>
      <c r="AE16">
        <f>AD16*Tabella3[[#This Row],[CL]]</f>
        <v>-5.1997290551363351</v>
      </c>
      <c r="AF16">
        <f t="shared" si="6"/>
        <v>4.8002709448636649</v>
      </c>
      <c r="AG16">
        <f t="shared" si="7"/>
        <v>-15.199729055136334</v>
      </c>
      <c r="AH16">
        <f t="shared" si="8"/>
        <v>14.800270944863666</v>
      </c>
      <c r="AI16">
        <f t="shared" si="9"/>
        <v>-25.199729055136334</v>
      </c>
      <c r="AJ16">
        <f>Tabella11[[#This Row],[m3]]+10</f>
        <v>24.800270944863666</v>
      </c>
      <c r="AK16">
        <f t="shared" si="10"/>
        <v>-35.199729055136331</v>
      </c>
      <c r="AN16">
        <v>3</v>
      </c>
      <c r="AO16">
        <v>2.6</v>
      </c>
      <c r="AQ16">
        <f>Tabella9[[#This Row],[m1]]+(Tabella11[[#This Row],[m1]]-Tabella9[[#This Row],[m1]])*((Tabella2[r = 1/λ]-1)/(2-1))</f>
        <v>-4.3827716247427997</v>
      </c>
      <c r="AR16">
        <f>Tabella9[[#This Row],[m2]]+(Tabella11[[#This Row],[m2]]-Tabella9[[#This Row],[m2]])*((Tabella2[r = 1/λ]-1)/(2-1))</f>
        <v>5.6172283752572003</v>
      </c>
      <c r="AS16">
        <f>Tabella9[[#This Row],[m2meno]]+(Tabella11[[#This Row],[m2meno]]-Tabella9[[#This Row],[m2meno]])*((Tabella2[r = 1/λ]-1)/(2-1))</f>
        <v>-14.3827716247428</v>
      </c>
      <c r="AT16">
        <f>Tabella9[[#This Row],[m3]]+(Tabella11[[#This Row],[m3]]-Tabella9[[#This Row],[m3]])*((Tabella2[r = 1/λ]-1)/(2-1))</f>
        <v>15.6172283752572</v>
      </c>
      <c r="AU16">
        <f>Tabella9[[#This Row],[m3meno]]+(Tabella11[[#This Row],[m3meno]]-Tabella9[[#This Row],[m3meno]])*((Tabella2[r = 1/λ]-1)/(2-1))</f>
        <v>-24.382771624742801</v>
      </c>
      <c r="AV16">
        <f>Tabella9[[#This Row],[m4]]+(Tabella11[[#This Row],[m4]]-Tabella9[[#This Row],[m4]])*((Tabella2[r = 1/λ]-1)/(2-1))</f>
        <v>25.617228375257199</v>
      </c>
      <c r="AW16">
        <f>Tabella9[[#This Row],[m4meno]]+(Tabella11[[#This Row],[m4meno]]-Tabella9[[#This Row],[m4meno]])*((Tabella2[r = 1/λ]-1)/(2-1))</f>
        <v>-34.382771624742794</v>
      </c>
      <c r="AX16" s="2">
        <f>Tabella9[[#This Row],[Φ_1]]+(Tabella11[[#This Row],[Φ_1]]-Tabella9[[#This Row],[Φ_1]])*((Tabella2[r = 1/λ]-1)/(2-1))</f>
        <v>0</v>
      </c>
      <c r="AY16" s="2">
        <f>Tabella9[[#This Row],[Φ_2]]+(Tabella11[[#This Row],[Φ_2]]-Tabella9[[#This Row],[Φ_2]])*((Tabella2[r = 1/λ]-1)/(2-1))</f>
        <v>0</v>
      </c>
      <c r="AZ16" s="2">
        <f>Tabella9[[#This Row],[Φ_3]]+(Tabella11[[#This Row],[Φ_3]]-Tabella9[[#This Row],[Φ_3]])*((Tabella2[r = 1/λ]-1)/(2-1))</f>
        <v>2.6560000000000001</v>
      </c>
      <c r="BA16" s="2">
        <f>Tabella9[[#This Row],[Φ_4]]+(Tabella11[[#This Row],[Φ_4]]-Tabella9[[#This Row],[Φ_4]])*((Tabella2[r = 1/λ]-1)/(2-1))</f>
        <v>2.3635000000000002</v>
      </c>
      <c r="BC16">
        <f>Tabella1[[#This Row],[Φ_3]]+(Tabella1[[#This Row],[Φ_4]]-Tabella1[[#This Row],[Φ_3]])*((Tabella3[[#This Row],[m_P]]-Tabella1[[#This Row],[m3]])/(Tabella1[[#This Row],[m4]]-Tabella1[[#This Row],[m3]]))</f>
        <v>2.5631956300018084</v>
      </c>
    </row>
    <row r="17" spans="1:55" x14ac:dyDescent="0.45">
      <c r="A17">
        <f t="shared" si="11"/>
        <v>10</v>
      </c>
      <c r="B17">
        <f>Tabella3[[#This Row],[α_abs]]+Tabella2[α0_w]*57.3-Tabella2[iw]*57.3</f>
        <v>7.3315389999999994</v>
      </c>
      <c r="C17">
        <f>Tabella3[[#This Row],[α_b]]+Tabella2[iw]*57.3</f>
        <v>8.8327989999999996</v>
      </c>
      <c r="D17">
        <v>9.8279039539641996E-2</v>
      </c>
      <c r="E17">
        <v>1.0984346730599399</v>
      </c>
      <c r="F17">
        <f>(Tabella2[d]*COS(Tabella2[φ]+Tabella2[iw]-Tabella2[α0_w]-A18/57.3))+(0.75*Tabella2[Cr]*COS(Tabella3[[#This Row],[α_abs]]/57.3+Tabella2[iw]))</f>
        <v>14.169776086453664</v>
      </c>
      <c r="G17">
        <f>(Tabella3[[#This Row],[X]]/Tabella2[b/2])*100</f>
        <v>104.72857417925843</v>
      </c>
      <c r="H17">
        <f>Tabella2[d]*SIN(Tabella2[φ]+Tabella2[iw]-Tabella2[α0_w]-A18/57.3)</f>
        <v>2.3273920904737415</v>
      </c>
      <c r="I17">
        <f>Tabella3[[#This Row],[m]]/Tabella2[b/2]*100</f>
        <v>17.201715376746058</v>
      </c>
      <c r="J17">
        <f>Tabella14[[#This Row],[Φ_80]]</f>
        <v>2.5970274794485428</v>
      </c>
      <c r="K17">
        <f>Tabella3[[#This Row],[Φ]]*Tabella3[[#This Row],[CL]]</f>
        <v>2.8526650303157401</v>
      </c>
      <c r="L17">
        <f>(J18-Tabella3[[#This Row],[Φ]])/(B18-Tabella3[[#This Row],[α_b]])</f>
        <v>3.3866874671597103E-2</v>
      </c>
      <c r="M17">
        <f>Tabella3[[#This Row],[Φ]]*Tabella3[[#This Row],[CL_α]]+Tabella3[[#This Row],[CL]]*Tabella3[[#This Row],[dΦ/dα]]</f>
        <v>0.29243391574571787</v>
      </c>
      <c r="N17" s="2">
        <f>Tabella3[[#This Row],[dε/dα]]*Tabella3[[#This Row],[α_abs]]</f>
        <v>2.9243391574571787</v>
      </c>
      <c r="Q17">
        <v>-3.3</v>
      </c>
      <c r="R17">
        <f>Q17*Tabella3[[#This Row],[CL]]</f>
        <v>-3.6248344210978014</v>
      </c>
      <c r="S17">
        <f t="shared" si="0"/>
        <v>6.3751655789021981</v>
      </c>
      <c r="T17">
        <f t="shared" si="1"/>
        <v>-13.624834421097802</v>
      </c>
      <c r="U17">
        <f t="shared" si="2"/>
        <v>16.375165578902198</v>
      </c>
      <c r="V17">
        <f t="shared" si="3"/>
        <v>-23.624834421097802</v>
      </c>
      <c r="W17">
        <f t="shared" si="4"/>
        <v>26.375165578902198</v>
      </c>
      <c r="X17">
        <f t="shared" si="5"/>
        <v>-33.624834421097802</v>
      </c>
      <c r="AA17">
        <v>2.2000000000000002</v>
      </c>
      <c r="AB17">
        <v>2.0499999999999998</v>
      </c>
      <c r="AD17">
        <v>-5.2</v>
      </c>
      <c r="AE17">
        <f>AD17*Tabella3[[#This Row],[CL]]</f>
        <v>-5.7118602999116881</v>
      </c>
      <c r="AF17">
        <f t="shared" si="6"/>
        <v>4.2881397000883119</v>
      </c>
      <c r="AG17">
        <f t="shared" si="7"/>
        <v>-15.711860299911688</v>
      </c>
      <c r="AH17">
        <f t="shared" si="8"/>
        <v>14.288139700088312</v>
      </c>
      <c r="AI17">
        <f t="shared" si="9"/>
        <v>-25.711860299911688</v>
      </c>
      <c r="AJ17">
        <f>Tabella11[[#This Row],[m3]]+10</f>
        <v>24.288139700088312</v>
      </c>
      <c r="AK17">
        <f t="shared" si="10"/>
        <v>-35.711860299911692</v>
      </c>
      <c r="AN17">
        <v>3</v>
      </c>
      <c r="AO17">
        <v>2.6</v>
      </c>
      <c r="AQ17">
        <f>Tabella9[[#This Row],[m1]]+(Tabella11[[#This Row],[m1]]-Tabella9[[#This Row],[m1]])*((Tabella2[r = 1/λ]-1)/(2-1))</f>
        <v>-4.814439172021717</v>
      </c>
      <c r="AR17">
        <f>Tabella9[[#This Row],[m2]]+(Tabella11[[#This Row],[m2]]-Tabella9[[#This Row],[m2]])*((Tabella2[r = 1/λ]-1)/(2-1))</f>
        <v>5.185560827978283</v>
      </c>
      <c r="AS17">
        <f>Tabella9[[#This Row],[m2meno]]+(Tabella11[[#This Row],[m2meno]]-Tabella9[[#This Row],[m2meno]])*((Tabella2[r = 1/λ]-1)/(2-1))</f>
        <v>-14.814439172021718</v>
      </c>
      <c r="AT17">
        <f>Tabella9[[#This Row],[m3]]+(Tabella11[[#This Row],[m3]]-Tabella9[[#This Row],[m3]])*((Tabella2[r = 1/λ]-1)/(2-1))</f>
        <v>15.185560827978282</v>
      </c>
      <c r="AU17">
        <f>Tabella9[[#This Row],[m3meno]]+(Tabella11[[#This Row],[m3meno]]-Tabella9[[#This Row],[m3meno]])*((Tabella2[r = 1/λ]-1)/(2-1))</f>
        <v>-24.814439172021718</v>
      </c>
      <c r="AV17">
        <f>Tabella9[[#This Row],[m4]]+(Tabella11[[#This Row],[m4]]-Tabella9[[#This Row],[m4]])*((Tabella2[r = 1/λ]-1)/(2-1))</f>
        <v>25.185560827978282</v>
      </c>
      <c r="AW17">
        <f>Tabella9[[#This Row],[m4meno]]+(Tabella11[[#This Row],[m4meno]]-Tabella9[[#This Row],[m4meno]])*((Tabella2[r = 1/λ]-1)/(2-1))</f>
        <v>-34.814439172021721</v>
      </c>
      <c r="AX17" s="2">
        <f>Tabella9[[#This Row],[Φ_1]]+(Tabella11[[#This Row],[Φ_1]]-Tabella9[[#This Row],[Φ_1]])*((Tabella2[r = 1/λ]-1)/(2-1))</f>
        <v>0</v>
      </c>
      <c r="AY17" s="2">
        <f>Tabella9[[#This Row],[Φ_2]]+(Tabella11[[#This Row],[Φ_2]]-Tabella9[[#This Row],[Φ_2]])*((Tabella2[r = 1/λ]-1)/(2-1))</f>
        <v>0</v>
      </c>
      <c r="AZ17" s="2">
        <f>Tabella9[[#This Row],[Φ_3]]+(Tabella11[[#This Row],[Φ_3]]-Tabella9[[#This Row],[Φ_3]])*((Tabella2[r = 1/λ]-1)/(2-1))</f>
        <v>2.6560000000000001</v>
      </c>
      <c r="BA17" s="2">
        <f>Tabella9[[#This Row],[Φ_4]]+(Tabella11[[#This Row],[Φ_4]]-Tabella9[[#This Row],[Φ_4]])*((Tabella2[r = 1/λ]-1)/(2-1))</f>
        <v>2.3635000000000002</v>
      </c>
      <c r="BC17">
        <f>Tabella1[[#This Row],[Φ_3]]+(Tabella1[[#This Row],[Φ_4]]-Tabella1[[#This Row],[Φ_3]])*((Tabella3[[#This Row],[m_P]]-Tabella1[[#This Row],[m3]])/(Tabella1[[#This Row],[m4]]-Tabella1[[#This Row],[m3]]))</f>
        <v>2.5970274794485428</v>
      </c>
    </row>
    <row r="18" spans="1:55" x14ac:dyDescent="0.45">
      <c r="A18">
        <f t="shared" si="11"/>
        <v>11</v>
      </c>
      <c r="B18">
        <f>Tabella3[[#This Row],[α_abs]]+Tabella2[α0_w]*57.3-Tabella2[iw]*57.3</f>
        <v>8.3315389999999994</v>
      </c>
      <c r="C18">
        <f>Tabella3[[#This Row],[α_b]]+Tabella2[iw]*57.3</f>
        <v>9.8327989999999996</v>
      </c>
      <c r="D18">
        <v>9.9188004814052794E-2</v>
      </c>
      <c r="E18">
        <v>1.19784355761298</v>
      </c>
      <c r="F18">
        <f>(Tabella2[d]*COS(Tabella2[φ]+Tabella2[iw]-Tabella2[α0_w]-A19/57.3))+(0.75*Tabella2[Cr]*COS(Tabella3[[#This Row],[α_abs]]/57.3+Tabella2[iw]))</f>
        <v>14.201717988755176</v>
      </c>
      <c r="G18">
        <f>(Tabella3[[#This Row],[X]]/Tabella2[b/2])*100</f>
        <v>104.96465623618016</v>
      </c>
      <c r="H18">
        <f>Tabella2[d]*SIN(Tabella2[φ]+Tabella2[iw]-Tabella2[α0_w]-A19/57.3)</f>
        <v>2.1117846388058026</v>
      </c>
      <c r="I18">
        <f>Tabella3[[#This Row],[m]]/Tabella2[b/2]*100</f>
        <v>15.608164366635643</v>
      </c>
      <c r="J18">
        <f>Tabella14[[#This Row],[Φ_80]]</f>
        <v>2.6308943541201399</v>
      </c>
      <c r="K18">
        <f>Tabella3[[#This Row],[Φ]]*Tabella3[[#This Row],[CL]]</f>
        <v>3.1513998528431717</v>
      </c>
      <c r="L18">
        <f>(J19-Tabella3[[#This Row],[Φ]])/(B19-Tabella3[[#This Row],[α_b]])</f>
        <v>3.4358761970058715E-2</v>
      </c>
      <c r="M18">
        <f>Tabella3[[#This Row],[Φ]]*Tabella3[[#This Row],[CL_α]]+Tabella3[[#This Row],[CL]]*Tabella3[[#This Row],[dΦ/dα]]</f>
        <v>0.3021095835351254</v>
      </c>
      <c r="N18" s="2">
        <f>Tabella3[[#This Row],[dε/dα]]*Tabella3[[#This Row],[α_abs]]</f>
        <v>3.3232054188863795</v>
      </c>
      <c r="Q18">
        <v>-3.3</v>
      </c>
      <c r="R18">
        <f>Q18*Tabella3[[#This Row],[CL]]</f>
        <v>-3.9528837401228336</v>
      </c>
      <c r="S18">
        <f t="shared" si="0"/>
        <v>6.0471162598771659</v>
      </c>
      <c r="T18">
        <f t="shared" si="1"/>
        <v>-13.952883740122834</v>
      </c>
      <c r="U18">
        <f t="shared" si="2"/>
        <v>16.047116259877164</v>
      </c>
      <c r="V18">
        <f t="shared" si="3"/>
        <v>-23.952883740122836</v>
      </c>
      <c r="W18">
        <f t="shared" si="4"/>
        <v>26.047116259877164</v>
      </c>
      <c r="X18">
        <f t="shared" si="5"/>
        <v>-33.952883740122836</v>
      </c>
      <c r="AA18">
        <v>2.2000000000000002</v>
      </c>
      <c r="AB18">
        <v>2.0499999999999998</v>
      </c>
      <c r="AD18">
        <v>-5.2</v>
      </c>
      <c r="AE18">
        <f>AD18*Tabella3[[#This Row],[CL]]</f>
        <v>-6.2287864995874962</v>
      </c>
      <c r="AF18">
        <f t="shared" si="6"/>
        <v>3.7712135004125038</v>
      </c>
      <c r="AG18">
        <f t="shared" si="7"/>
        <v>-16.228786499587496</v>
      </c>
      <c r="AH18">
        <f t="shared" si="8"/>
        <v>13.771213500412504</v>
      </c>
      <c r="AI18">
        <f t="shared" si="9"/>
        <v>-26.228786499587496</v>
      </c>
      <c r="AJ18">
        <f>Tabella11[[#This Row],[m3]]+10</f>
        <v>23.771213500412504</v>
      </c>
      <c r="AK18">
        <f t="shared" si="10"/>
        <v>-36.2287864995875</v>
      </c>
      <c r="AN18">
        <v>3</v>
      </c>
      <c r="AO18">
        <v>2.6</v>
      </c>
      <c r="AQ18">
        <f>Tabella9[[#This Row],[m1]]+(Tabella11[[#This Row],[m1]]-Tabella9[[#This Row],[m1]])*((Tabella2[r = 1/λ]-1)/(2-1))</f>
        <v>-5.2501483130176911</v>
      </c>
      <c r="AR18">
        <f>Tabella9[[#This Row],[m2]]+(Tabella11[[#This Row],[m2]]-Tabella9[[#This Row],[m2]])*((Tabella2[r = 1/λ]-1)/(2-1))</f>
        <v>4.7498516869823089</v>
      </c>
      <c r="AS18">
        <f>Tabella9[[#This Row],[m2meno]]+(Tabella11[[#This Row],[m2meno]]-Tabella9[[#This Row],[m2meno]])*((Tabella2[r = 1/λ]-1)/(2-1))</f>
        <v>-15.250148313017691</v>
      </c>
      <c r="AT18">
        <f>Tabella9[[#This Row],[m3]]+(Tabella11[[#This Row],[m3]]-Tabella9[[#This Row],[m3]])*((Tabella2[r = 1/λ]-1)/(2-1))</f>
        <v>14.749851686982307</v>
      </c>
      <c r="AU18">
        <f>Tabella9[[#This Row],[m3meno]]+(Tabella11[[#This Row],[m3meno]]-Tabella9[[#This Row],[m3meno]])*((Tabella2[r = 1/λ]-1)/(2-1))</f>
        <v>-25.250148313017693</v>
      </c>
      <c r="AV18">
        <f>Tabella9[[#This Row],[m4]]+(Tabella11[[#This Row],[m4]]-Tabella9[[#This Row],[m4]])*((Tabella2[r = 1/λ]-1)/(2-1))</f>
        <v>24.749851686982307</v>
      </c>
      <c r="AW18">
        <f>Tabella9[[#This Row],[m4meno]]+(Tabella11[[#This Row],[m4meno]]-Tabella9[[#This Row],[m4meno]])*((Tabella2[r = 1/λ]-1)/(2-1))</f>
        <v>-35.250148313017696</v>
      </c>
      <c r="AX18" s="2">
        <f>Tabella9[[#This Row],[Φ_1]]+(Tabella11[[#This Row],[Φ_1]]-Tabella9[[#This Row],[Φ_1]])*((Tabella2[r = 1/λ]-1)/(2-1))</f>
        <v>0</v>
      </c>
      <c r="AY18" s="2">
        <f>Tabella9[[#This Row],[Φ_2]]+(Tabella11[[#This Row],[Φ_2]]-Tabella9[[#This Row],[Φ_2]])*((Tabella2[r = 1/λ]-1)/(2-1))</f>
        <v>0</v>
      </c>
      <c r="AZ18" s="2">
        <f>Tabella9[[#This Row],[Φ_3]]+(Tabella11[[#This Row],[Φ_3]]-Tabella9[[#This Row],[Φ_3]])*((Tabella2[r = 1/λ]-1)/(2-1))</f>
        <v>2.6560000000000001</v>
      </c>
      <c r="BA18" s="2">
        <f>Tabella9[[#This Row],[Φ_4]]+(Tabella11[[#This Row],[Φ_4]]-Tabella9[[#This Row],[Φ_4]])*((Tabella2[r = 1/λ]-1)/(2-1))</f>
        <v>2.3635000000000002</v>
      </c>
      <c r="BC18">
        <f>Tabella1[[#This Row],[Φ_3]]+(Tabella1[[#This Row],[Φ_4]]-Tabella1[[#This Row],[Φ_3]])*((Tabella3[[#This Row],[m_P]]-Tabella1[[#This Row],[m3]])/(Tabella1[[#This Row],[m4]]-Tabella1[[#This Row],[m3]]))</f>
        <v>2.6308943541201399</v>
      </c>
    </row>
    <row r="19" spans="1:55" x14ac:dyDescent="0.45">
      <c r="A19">
        <f t="shared" si="11"/>
        <v>12</v>
      </c>
      <c r="B19">
        <f>Tabella3[[#This Row],[α_abs]]+Tabella2[α0_w]*57.3-Tabella2[iw]*57.3</f>
        <v>9.3315389999999994</v>
      </c>
      <c r="C19">
        <f>Tabella3[[#This Row],[α_b]]+Tabella2[iw]*57.3</f>
        <v>10.832799</v>
      </c>
      <c r="D19">
        <v>9.8887374946945397E-2</v>
      </c>
      <c r="E19">
        <v>1.29450022632146</v>
      </c>
      <c r="F19">
        <f>(Tabella2[d]*COS(Tabella2[φ]+Tabella2[iw]-Tabella2[α0_w]-A20/57.3))+(0.75*Tabella2[Cr]*COS(Tabella3[[#This Row],[α_abs]]/57.3+Tabella2[iw]))</f>
        <v>14.229334547411149</v>
      </c>
      <c r="G19">
        <f>(Tabella3[[#This Row],[X]]/Tabella2[b/2])*100</f>
        <v>105.16876975174539</v>
      </c>
      <c r="H19">
        <f>Tabella2[d]*SIN(Tabella2[φ]+Tabella2[iw]-Tabella2[α0_w]-A20/57.3)</f>
        <v>1.8955340118350281</v>
      </c>
      <c r="I19">
        <f>Tabella3[[#This Row],[m]]/Tabella2[b/2]*100</f>
        <v>14.009859658795479</v>
      </c>
      <c r="J19">
        <f>Tabella14[[#This Row],[Φ_80]]</f>
        <v>2.6652531160901987</v>
      </c>
      <c r="K19">
        <f>Tabella3[[#This Row],[Φ]]*Tabella3[[#This Row],[CL]]</f>
        <v>3.4501707619827386</v>
      </c>
      <c r="L19">
        <f>(J20-Tabella3[[#This Row],[Φ]])/(B20-Tabella3[[#This Row],[α_b]])</f>
        <v>3.5419345442800676E-2</v>
      </c>
      <c r="M19">
        <f>Tabella3[[#This Row],[Φ]]*Tabella3[[#This Row],[CL_α]]+Tabella3[[#This Row],[CL]]*Tabella3[[#This Row],[dΦ/dα]]</f>
        <v>0.30941023491118952</v>
      </c>
      <c r="N19" s="2">
        <f>Tabella3[[#This Row],[dε/dα]]*Tabella3[[#This Row],[α_abs]]</f>
        <v>3.712922818934274</v>
      </c>
      <c r="Q19">
        <v>-3.3</v>
      </c>
      <c r="R19">
        <f>Q19*Tabella3[[#This Row],[CL]]</f>
        <v>-4.2718507468608173</v>
      </c>
      <c r="S19">
        <f t="shared" si="0"/>
        <v>5.7281492531391827</v>
      </c>
      <c r="T19">
        <f t="shared" si="1"/>
        <v>-14.271850746860817</v>
      </c>
      <c r="U19">
        <f t="shared" si="2"/>
        <v>15.728149253139183</v>
      </c>
      <c r="V19">
        <f t="shared" si="3"/>
        <v>-24.271850746860817</v>
      </c>
      <c r="W19">
        <f t="shared" si="4"/>
        <v>25.728149253139183</v>
      </c>
      <c r="X19">
        <f t="shared" si="5"/>
        <v>-34.271850746860821</v>
      </c>
      <c r="Z19">
        <v>2.2999999999999998</v>
      </c>
      <c r="AA19">
        <v>2.2000000000000002</v>
      </c>
      <c r="AB19">
        <v>2.0499999999999998</v>
      </c>
      <c r="AD19">
        <v>-5.2</v>
      </c>
      <c r="AE19">
        <f>AD19*Tabella3[[#This Row],[CL]]</f>
        <v>-6.731401176871592</v>
      </c>
      <c r="AF19">
        <f t="shared" si="6"/>
        <v>3.268598823128408</v>
      </c>
      <c r="AG19">
        <f t="shared" si="7"/>
        <v>-16.731401176871593</v>
      </c>
      <c r="AH19">
        <f t="shared" si="8"/>
        <v>13.268598823128407</v>
      </c>
      <c r="AI19">
        <f t="shared" si="9"/>
        <v>-26.731401176871593</v>
      </c>
      <c r="AJ19">
        <f>Tabella11[[#This Row],[m3]]+10</f>
        <v>23.268598823128407</v>
      </c>
      <c r="AK19">
        <f t="shared" si="10"/>
        <v>-36.731401176871593</v>
      </c>
      <c r="AN19">
        <v>3</v>
      </c>
      <c r="AO19">
        <v>2.6</v>
      </c>
      <c r="AQ19">
        <f>Tabella9[[#This Row],[m1]]+(Tabella11[[#This Row],[m1]]-Tabella9[[#This Row],[m1]])*((Tabella2[r = 1/λ]-1)/(2-1))</f>
        <v>-5.6737944919669587</v>
      </c>
      <c r="AR19">
        <f>Tabella9[[#This Row],[m2]]+(Tabella11[[#This Row],[m2]]-Tabella9[[#This Row],[m2]])*((Tabella2[r = 1/λ]-1)/(2-1))</f>
        <v>4.3262055080330413</v>
      </c>
      <c r="AS19">
        <f>Tabella9[[#This Row],[m2meno]]+(Tabella11[[#This Row],[m2meno]]-Tabella9[[#This Row],[m2meno]])*((Tabella2[r = 1/λ]-1)/(2-1))</f>
        <v>-15.673794491966959</v>
      </c>
      <c r="AT19">
        <f>Tabella9[[#This Row],[m3]]+(Tabella11[[#This Row],[m3]]-Tabella9[[#This Row],[m3]])*((Tabella2[r = 1/λ]-1)/(2-1))</f>
        <v>14.326205508033041</v>
      </c>
      <c r="AU19">
        <f>Tabella9[[#This Row],[m3meno]]+(Tabella11[[#This Row],[m3meno]]-Tabella9[[#This Row],[m3meno]])*((Tabella2[r = 1/λ]-1)/(2-1))</f>
        <v>-25.673794491966959</v>
      </c>
      <c r="AV19">
        <f>Tabella9[[#This Row],[m4]]+(Tabella11[[#This Row],[m4]]-Tabella9[[#This Row],[m4]])*((Tabella2[r = 1/λ]-1)/(2-1))</f>
        <v>24.326205508033041</v>
      </c>
      <c r="AW19">
        <f>Tabella9[[#This Row],[m4meno]]+(Tabella11[[#This Row],[m4meno]]-Tabella9[[#This Row],[m4meno]])*((Tabella2[r = 1/λ]-1)/(2-1))</f>
        <v>-35.673794491966959</v>
      </c>
      <c r="AX19" s="2">
        <f>Tabella9[[#This Row],[Φ_1]]+(Tabella11[[#This Row],[Φ_1]]-Tabella9[[#This Row],[Φ_1]])*((Tabella2[r = 1/λ]-1)/(2-1))</f>
        <v>0</v>
      </c>
      <c r="AY19" s="2">
        <f>Tabella9[[#This Row],[Φ_2]]+(Tabella11[[#This Row],[Φ_2]]-Tabella9[[#This Row],[Φ_2]])*((Tabella2[r = 1/λ]-1)/(2-1))</f>
        <v>0.98899999999999988</v>
      </c>
      <c r="AZ19" s="2">
        <f>Tabella9[[#This Row],[Φ_3]]+(Tabella11[[#This Row],[Φ_3]]-Tabella9[[#This Row],[Φ_3]])*((Tabella2[r = 1/λ]-1)/(2-1))</f>
        <v>2.6560000000000001</v>
      </c>
      <c r="BA19" s="2">
        <f>Tabella9[[#This Row],[Φ_4]]+(Tabella11[[#This Row],[Φ_4]]-Tabella9[[#This Row],[Φ_4]])*((Tabella2[r = 1/λ]-1)/(2-1))</f>
        <v>2.3635000000000002</v>
      </c>
      <c r="BC19">
        <f>Tabella1[[#This Row],[Φ_3]]+(Tabella1[[#This Row],[Φ_4]]-Tabella1[[#This Row],[Φ_3]])*((Tabella3[[#This Row],[m_P]]-Tabella1[[#This Row],[m3]])/(Tabella1[[#This Row],[m4]]-Tabella1[[#This Row],[m3]]))</f>
        <v>2.6652531160901987</v>
      </c>
    </row>
    <row r="20" spans="1:55" x14ac:dyDescent="0.45">
      <c r="A20">
        <f t="shared" si="11"/>
        <v>13</v>
      </c>
      <c r="B20">
        <f>Tabella3[[#This Row],[α_abs]]+Tabella2[α0_w]*57.3-Tabella2[iw]*57.3</f>
        <v>10.331538999999999</v>
      </c>
      <c r="C20">
        <f>Tabella3[[#This Row],[α_b]]+Tabella2[iw]*57.3</f>
        <v>11.832799</v>
      </c>
      <c r="D20">
        <v>9.4047767782505606E-2</v>
      </c>
      <c r="E20">
        <v>1.38385770413853</v>
      </c>
      <c r="F20">
        <f>(Tabella2[d]*COS(Tabella2[φ]+Tabella2[iw]-Tabella2[α0_w]-A21/57.3))+(0.75*Tabella2[Cr]*COS(Tabella3[[#This Row],[α_abs]]/57.3+Tabella2[iw]))</f>
        <v>14.252617351389437</v>
      </c>
      <c r="G20">
        <f>(Tabella3[[#This Row],[X]]/Tabella2[b/2])*100</f>
        <v>105.34085256015844</v>
      </c>
      <c r="H20">
        <f>Tabella2[d]*SIN(Tabella2[φ]+Tabella2[iw]-Tabella2[α0_w]-A21/57.3)</f>
        <v>1.6787060718941269</v>
      </c>
      <c r="I20">
        <f>Tabella3[[#This Row],[m]]/Tabella2[b/2]*100</f>
        <v>12.407288040607</v>
      </c>
      <c r="J20">
        <f>Tabella14[[#This Row],[Φ_80]]</f>
        <v>2.7006724615329993</v>
      </c>
      <c r="K20">
        <f>Tabella3[[#This Row],[Φ]]*Tabella3[[#This Row],[CL]]</f>
        <v>3.737346392247209</v>
      </c>
      <c r="L20">
        <f>(J21-Tabella3[[#This Row],[Φ]])/(B21-Tabella3[[#This Row],[α_b]])</f>
        <v>3.7048584762429115E-2</v>
      </c>
      <c r="M20">
        <f>Tabella3[[#This Row],[Φ]]*Tabella3[[#This Row],[CL_α]]+Tabella3[[#This Row],[CL]]*Tabella3[[#This Row],[dΦ/dα]]</f>
        <v>0.30526218596978022</v>
      </c>
      <c r="N20" s="2">
        <f>Tabella3[[#This Row],[dε/dα]]*Tabella3[[#This Row],[α_abs]]</f>
        <v>3.9684084176071428</v>
      </c>
      <c r="Q20">
        <v>-3.3</v>
      </c>
      <c r="R20">
        <f>Q20*Tabella3[[#This Row],[CL]]</f>
        <v>-4.5667304236571491</v>
      </c>
      <c r="S20">
        <f t="shared" si="0"/>
        <v>5.4332695763428509</v>
      </c>
      <c r="T20">
        <f t="shared" si="1"/>
        <v>-14.566730423657148</v>
      </c>
      <c r="U20">
        <f t="shared" si="2"/>
        <v>15.433269576342852</v>
      </c>
      <c r="V20">
        <f t="shared" si="3"/>
        <v>-24.566730423657148</v>
      </c>
      <c r="W20">
        <f t="shared" si="4"/>
        <v>25.433269576342852</v>
      </c>
      <c r="X20">
        <f t="shared" si="5"/>
        <v>-34.566730423657148</v>
      </c>
      <c r="Z20">
        <v>2.2999999999999998</v>
      </c>
      <c r="AA20">
        <v>2.2000000000000002</v>
      </c>
      <c r="AB20">
        <v>2.0499999999999998</v>
      </c>
      <c r="AD20">
        <v>-5.2</v>
      </c>
      <c r="AE20">
        <f>AD20*Tabella3[[#This Row],[CL]]</f>
        <v>-7.196060061520356</v>
      </c>
      <c r="AF20">
        <f t="shared" si="6"/>
        <v>2.803939938479644</v>
      </c>
      <c r="AG20">
        <f t="shared" si="7"/>
        <v>-17.196060061520356</v>
      </c>
      <c r="AH20">
        <f t="shared" si="8"/>
        <v>12.803939938479644</v>
      </c>
      <c r="AI20">
        <f t="shared" si="9"/>
        <v>-27.196060061520356</v>
      </c>
      <c r="AJ20">
        <f>Tabella11[[#This Row],[m3]]+10</f>
        <v>22.803939938479644</v>
      </c>
      <c r="AK20">
        <f t="shared" si="10"/>
        <v>-37.196060061520356</v>
      </c>
      <c r="AN20">
        <v>3</v>
      </c>
      <c r="AO20">
        <v>2.6</v>
      </c>
      <c r="AQ20">
        <f>Tabella9[[#This Row],[m1]]+(Tabella11[[#This Row],[m1]]-Tabella9[[#This Row],[m1]])*((Tabella2[r = 1/λ]-1)/(2-1))</f>
        <v>-6.0654483172391771</v>
      </c>
      <c r="AR20">
        <f>Tabella9[[#This Row],[m2]]+(Tabella11[[#This Row],[m2]]-Tabella9[[#This Row],[m2]])*((Tabella2[r = 1/λ]-1)/(2-1))</f>
        <v>3.9345516827608229</v>
      </c>
      <c r="AS20">
        <f>Tabella9[[#This Row],[m2meno]]+(Tabella11[[#This Row],[m2meno]]-Tabella9[[#This Row],[m2meno]])*((Tabella2[r = 1/λ]-1)/(2-1))</f>
        <v>-16.065448317239177</v>
      </c>
      <c r="AT20">
        <f>Tabella9[[#This Row],[m3]]+(Tabella11[[#This Row],[m3]]-Tabella9[[#This Row],[m3]])*((Tabella2[r = 1/λ]-1)/(2-1))</f>
        <v>13.934551682760823</v>
      </c>
      <c r="AU20">
        <f>Tabella9[[#This Row],[m3meno]]+(Tabella11[[#This Row],[m3meno]]-Tabella9[[#This Row],[m3meno]])*((Tabella2[r = 1/λ]-1)/(2-1))</f>
        <v>-26.065448317239177</v>
      </c>
      <c r="AV20">
        <f>Tabella9[[#This Row],[m4]]+(Tabella11[[#This Row],[m4]]-Tabella9[[#This Row],[m4]])*((Tabella2[r = 1/λ]-1)/(2-1))</f>
        <v>23.934551682760823</v>
      </c>
      <c r="AW20">
        <f>Tabella9[[#This Row],[m4meno]]+(Tabella11[[#This Row],[m4meno]]-Tabella9[[#This Row],[m4meno]])*((Tabella2[r = 1/λ]-1)/(2-1))</f>
        <v>-36.065448317239174</v>
      </c>
      <c r="AX20" s="2">
        <f>Tabella9[[#This Row],[Φ_1]]+(Tabella11[[#This Row],[Φ_1]]-Tabella9[[#This Row],[Φ_1]])*((Tabella2[r = 1/λ]-1)/(2-1))</f>
        <v>0</v>
      </c>
      <c r="AY20" s="2">
        <f>Tabella9[[#This Row],[Φ_2]]+(Tabella11[[#This Row],[Φ_2]]-Tabella9[[#This Row],[Φ_2]])*((Tabella2[r = 1/λ]-1)/(2-1))</f>
        <v>0.98899999999999988</v>
      </c>
      <c r="AZ20" s="2">
        <f>Tabella9[[#This Row],[Φ_3]]+(Tabella11[[#This Row],[Φ_3]]-Tabella9[[#This Row],[Φ_3]])*((Tabella2[r = 1/λ]-1)/(2-1))</f>
        <v>2.6560000000000001</v>
      </c>
      <c r="BA20" s="2">
        <f>Tabella9[[#This Row],[Φ_4]]+(Tabella11[[#This Row],[Φ_4]]-Tabella9[[#This Row],[Φ_4]])*((Tabella2[r = 1/λ]-1)/(2-1))</f>
        <v>2.3635000000000002</v>
      </c>
      <c r="BC20">
        <f>Tabella1[[#This Row],[Φ_3]]+(Tabella1[[#This Row],[Φ_4]]-Tabella1[[#This Row],[Φ_3]])*((Tabella3[[#This Row],[m_P]]-Tabella1[[#This Row],[m3]])/(Tabella1[[#This Row],[m4]]-Tabella1[[#This Row],[m3]]))</f>
        <v>2.7006724615329993</v>
      </c>
    </row>
    <row r="21" spans="1:55" x14ac:dyDescent="0.45">
      <c r="A21">
        <f t="shared" si="11"/>
        <v>14</v>
      </c>
      <c r="B21">
        <f>Tabella3[[#This Row],[α_abs]]+Tabella2[α0_w]*57.3-Tabella2[iw]*57.3</f>
        <v>11.331538999999999</v>
      </c>
      <c r="C21">
        <f>Tabella3[[#This Row],[α_b]]+Tabella2[iw]*57.3</f>
        <v>12.832799</v>
      </c>
      <c r="D21">
        <v>8.4661245764850707E-2</v>
      </c>
      <c r="E21">
        <v>1.4613690340788399</v>
      </c>
      <c r="F21">
        <f>(Tabella2[d]*COS(Tabella2[φ]+Tabella2[iw]-Tabella2[α0_w]-A22/57.3))+(0.75*Tabella2[Cr]*COS(Tabella3[[#This Row],[α_abs]]/57.3+Tabella2[iw]))</f>
        <v>14.271559309567103</v>
      </c>
      <c r="G21">
        <f>(Tabella3[[#This Row],[X]]/Tabella2[b/2])*100</f>
        <v>105.48085225105028</v>
      </c>
      <c r="H21">
        <f>Tabella2[d]*SIN(Tabella2[φ]+Tabella2[iw]-Tabella2[α0_w]-A22/57.3)</f>
        <v>1.4613668571450267</v>
      </c>
      <c r="I21">
        <f>Tabella3[[#This Row],[m]]/Tabella2[b/2]*100</f>
        <v>10.800937599002415</v>
      </c>
      <c r="J21">
        <f>Tabella14[[#This Row],[Φ_80]]</f>
        <v>2.7377210462954285</v>
      </c>
      <c r="K21">
        <f>Tabella3[[#This Row],[Φ]]*Tabella3[[#This Row],[CL]]</f>
        <v>4.0008207610020614</v>
      </c>
      <c r="L21">
        <f>(J22-Tabella3[[#This Row],[Φ]])/(B22-Tabella3[[#This Row],[α_b]])</f>
        <v>3.9246446257883427E-2</v>
      </c>
      <c r="M21">
        <f>Tabella3[[#This Row],[Φ]]*Tabella3[[#This Row],[CL_α]]+Tabella3[[#This Row],[CL]]*Tabella3[[#This Row],[dΦ/dα]]</f>
        <v>0.28913241559493169</v>
      </c>
      <c r="N21" s="2">
        <f>Tabella3[[#This Row],[dε/dα]]*Tabella3[[#This Row],[α_abs]]</f>
        <v>4.0478538183290436</v>
      </c>
      <c r="Q21">
        <v>-3.3</v>
      </c>
      <c r="R21">
        <f>Q21*Tabella3[[#This Row],[CL]]</f>
        <v>-4.8225178124601715</v>
      </c>
      <c r="S21">
        <f t="shared" si="0"/>
        <v>5.1774821875398285</v>
      </c>
      <c r="T21">
        <f t="shared" si="1"/>
        <v>-14.822517812460172</v>
      </c>
      <c r="U21">
        <f t="shared" si="2"/>
        <v>15.177482187539828</v>
      </c>
      <c r="V21">
        <f t="shared" si="3"/>
        <v>-24.82251781246017</v>
      </c>
      <c r="W21">
        <f t="shared" si="4"/>
        <v>25.17748218753983</v>
      </c>
      <c r="X21">
        <f t="shared" si="5"/>
        <v>-34.82251781246017</v>
      </c>
      <c r="Z21">
        <v>2.2999999999999998</v>
      </c>
      <c r="AA21">
        <v>2.2000000000000002</v>
      </c>
      <c r="AB21">
        <v>2.0499999999999998</v>
      </c>
      <c r="AD21">
        <v>-5.2</v>
      </c>
      <c r="AE21">
        <f>AD21*Tabella3[[#This Row],[CL]]</f>
        <v>-7.5991189772099679</v>
      </c>
      <c r="AF21">
        <f t="shared" si="6"/>
        <v>2.4008810227900321</v>
      </c>
      <c r="AG21">
        <f t="shared" si="7"/>
        <v>-17.599118977209969</v>
      </c>
      <c r="AH21">
        <f t="shared" si="8"/>
        <v>12.400881022790031</v>
      </c>
      <c r="AI21">
        <f t="shared" si="9"/>
        <v>-27.599118977209969</v>
      </c>
      <c r="AJ21">
        <f>Tabella11[[#This Row],[m3]]+10</f>
        <v>22.400881022790031</v>
      </c>
      <c r="AK21">
        <f t="shared" si="10"/>
        <v>-37.599118977209969</v>
      </c>
      <c r="AM21">
        <v>3.5</v>
      </c>
      <c r="AN21">
        <v>3</v>
      </c>
      <c r="AO21">
        <v>2.6</v>
      </c>
      <c r="AQ21">
        <f>Tabella9[[#This Row],[m1]]+(Tabella11[[#This Row],[m1]]-Tabella9[[#This Row],[m1]])*((Tabella2[r = 1/λ]-1)/(2-1))</f>
        <v>-6.4051804763675557</v>
      </c>
      <c r="AR21">
        <f>Tabella9[[#This Row],[m2]]+(Tabella11[[#This Row],[m2]]-Tabella9[[#This Row],[m2]])*((Tabella2[r = 1/λ]-1)/(2-1))</f>
        <v>3.5948195236324443</v>
      </c>
      <c r="AS21">
        <f>Tabella9[[#This Row],[m2meno]]+(Tabella11[[#This Row],[m2meno]]-Tabella9[[#This Row],[m2meno]])*((Tabella2[r = 1/λ]-1)/(2-1))</f>
        <v>-16.405180476367555</v>
      </c>
      <c r="AT21">
        <f>Tabella9[[#This Row],[m3]]+(Tabella11[[#This Row],[m3]]-Tabella9[[#This Row],[m3]])*((Tabella2[r = 1/λ]-1)/(2-1))</f>
        <v>13.594819523632443</v>
      </c>
      <c r="AU21">
        <f>Tabella9[[#This Row],[m3meno]]+(Tabella11[[#This Row],[m3meno]]-Tabella9[[#This Row],[m3meno]])*((Tabella2[r = 1/λ]-1)/(2-1))</f>
        <v>-26.405180476367555</v>
      </c>
      <c r="AV21">
        <f>Tabella9[[#This Row],[m4]]+(Tabella11[[#This Row],[m4]]-Tabella9[[#This Row],[m4]])*((Tabella2[r = 1/λ]-1)/(2-1))</f>
        <v>23.594819523632445</v>
      </c>
      <c r="AW21">
        <f>Tabella9[[#This Row],[m4meno]]+(Tabella11[[#This Row],[m4meno]]-Tabella9[[#This Row],[m4meno]])*((Tabella2[r = 1/λ]-1)/(2-1))</f>
        <v>-36.405180476367555</v>
      </c>
      <c r="AX21" s="2">
        <f>Tabella9[[#This Row],[Φ_1]]+(Tabella11[[#This Row],[Φ_1]]-Tabella9[[#This Row],[Φ_1]])*((Tabella2[r = 1/λ]-1)/(2-1))</f>
        <v>0</v>
      </c>
      <c r="AY21" s="2">
        <f>Tabella9[[#This Row],[Φ_2]]+(Tabella11[[#This Row],[Φ_2]]-Tabella9[[#This Row],[Φ_2]])*((Tabella2[r = 1/λ]-1)/(2-1))</f>
        <v>2.984</v>
      </c>
      <c r="AZ21" s="2">
        <f>Tabella9[[#This Row],[Φ_3]]+(Tabella11[[#This Row],[Φ_3]]-Tabella9[[#This Row],[Φ_3]])*((Tabella2[r = 1/λ]-1)/(2-1))</f>
        <v>2.6560000000000001</v>
      </c>
      <c r="BA21" s="2">
        <f>Tabella9[[#This Row],[Φ_4]]+(Tabella11[[#This Row],[Φ_4]]-Tabella9[[#This Row],[Φ_4]])*((Tabella2[r = 1/λ]-1)/(2-1))</f>
        <v>2.3635000000000002</v>
      </c>
      <c r="BC21">
        <f>Tabella1[[#This Row],[Φ_3]]+(Tabella1[[#This Row],[Φ_4]]-Tabella1[[#This Row],[Φ_3]])*((Tabella3[[#This Row],[m_P]]-Tabella1[[#This Row],[m3]])/(Tabella1[[#This Row],[m4]]-Tabella1[[#This Row],[m3]]))</f>
        <v>2.7377210462954285</v>
      </c>
    </row>
    <row r="22" spans="1:55" x14ac:dyDescent="0.45">
      <c r="A22">
        <f t="shared" si="11"/>
        <v>15</v>
      </c>
      <c r="B22" s="2">
        <f>Tabella3[[#This Row],[α_abs]]+Tabella2[α0_w]*57.3-Tabella2[iw]*57.3</f>
        <v>12.331538999999999</v>
      </c>
      <c r="C22" s="2">
        <f>Tabella3[[#This Row],[α_b]]+Tabella2[iw]*57.3</f>
        <v>13.832799</v>
      </c>
      <c r="D22">
        <v>7.0727767035164896E-2</v>
      </c>
      <c r="E22">
        <v>1.52248725921424</v>
      </c>
      <c r="F22">
        <f>(Tabella2[d]*COS(Tabella2[φ]+Tabella2[iw]-Tabella2[α0_w]-A23/57.3))+(0.75*Tabella2[Cr]*COS(Tabella3[[#This Row],[α_abs]]/57.3+Tabella2[iw]))</f>
        <v>14.286154652890112</v>
      </c>
      <c r="G22">
        <f>(Tabella3[[#This Row],[X]]/Tabella2[b/2])*100</f>
        <v>105.58872618544059</v>
      </c>
      <c r="H22">
        <f>Tabella2[d]*SIN(Tabella2[φ]+Tabella2[iw]-Tabella2[α0_w]-A23/57.3)</f>
        <v>1.2435825614659741</v>
      </c>
      <c r="I22">
        <f>Tabella3[[#This Row],[m]]/Tabella2[b/2]*100</f>
        <v>9.1912975718105994</v>
      </c>
      <c r="J22">
        <f>Tabella14[[#This Row],[Φ_80]]</f>
        <v>2.7769674925533119</v>
      </c>
      <c r="K22">
        <f>Tabella3[[#This Row],[Φ]]*Tabella3[[#This Row],[CL]]</f>
        <v>4.2278976266645323</v>
      </c>
      <c r="L22">
        <f>(J23-Tabella3[[#This Row],[Φ]])/(B23-Tabella3[[#This Row],[α_b]])</f>
        <v>4.2012900617790283E-2</v>
      </c>
      <c r="M22">
        <f>Tabella3[[#This Row],[Φ]]*Tabella3[[#This Row],[CL_α]]+Tabella3[[#This Row],[CL]]*Tabella3[[#This Row],[dΦ/dα]]</f>
        <v>0.26037281579075644</v>
      </c>
      <c r="N22" s="2">
        <f>Tabella3[[#This Row],[dε/dα]]*Tabella3[[#This Row],[α_abs]]</f>
        <v>3.9055922368613465</v>
      </c>
      <c r="Q22">
        <v>-3.3</v>
      </c>
      <c r="R22">
        <f>Q22*Tabella3[[#This Row],[CL]]</f>
        <v>-5.0242079554069914</v>
      </c>
      <c r="S22">
        <f t="shared" si="0"/>
        <v>4.9757920445930086</v>
      </c>
      <c r="T22">
        <f t="shared" si="1"/>
        <v>-15.024207955406991</v>
      </c>
      <c r="U22">
        <f t="shared" si="2"/>
        <v>14.975792044593009</v>
      </c>
      <c r="V22">
        <f t="shared" si="3"/>
        <v>-25.024207955406993</v>
      </c>
      <c r="W22">
        <f t="shared" si="4"/>
        <v>24.975792044593007</v>
      </c>
      <c r="X22">
        <f t="shared" si="5"/>
        <v>-35.024207955406993</v>
      </c>
      <c r="Z22">
        <v>2.2999999999999998</v>
      </c>
      <c r="AA22">
        <v>2.2000000000000002</v>
      </c>
      <c r="AB22">
        <v>2.0499999999999998</v>
      </c>
      <c r="AD22">
        <v>-5.2</v>
      </c>
      <c r="AE22">
        <f>AD22*Tabella3[[#This Row],[CL]]</f>
        <v>-7.9169337479140482</v>
      </c>
      <c r="AF22">
        <f t="shared" si="6"/>
        <v>2.0830662520859518</v>
      </c>
      <c r="AG22">
        <f t="shared" si="7"/>
        <v>-17.916933747914047</v>
      </c>
      <c r="AH22">
        <f t="shared" si="8"/>
        <v>12.083066252085953</v>
      </c>
      <c r="AI22">
        <f t="shared" si="9"/>
        <v>-27.916933747914047</v>
      </c>
      <c r="AJ22">
        <f>Tabella11[[#This Row],[m3]]+10</f>
        <v>22.083066252085953</v>
      </c>
      <c r="AK22">
        <f t="shared" si="10"/>
        <v>-37.916933747914044</v>
      </c>
      <c r="AM22">
        <v>3.5</v>
      </c>
      <c r="AN22">
        <v>3</v>
      </c>
      <c r="AO22">
        <v>2.6</v>
      </c>
      <c r="AQ22">
        <f>Tabella9[[#This Row],[m1]]+(Tabella11[[#This Row],[m1]]-Tabella9[[#This Row],[m1]])*((Tabella2[r = 1/λ]-1)/(2-1))</f>
        <v>-6.6730616571360137</v>
      </c>
      <c r="AR22">
        <f>Tabella9[[#This Row],[m2]]+(Tabella11[[#This Row],[m2]]-Tabella9[[#This Row],[m2]])*((Tabella2[r = 1/λ]-1)/(2-1))</f>
        <v>3.3269383428639863</v>
      </c>
      <c r="AS22">
        <f>Tabella9[[#This Row],[m2meno]]+(Tabella11[[#This Row],[m2meno]]-Tabella9[[#This Row],[m2meno]])*((Tabella2[r = 1/λ]-1)/(2-1))</f>
        <v>-16.673061657136014</v>
      </c>
      <c r="AT22">
        <f>Tabella9[[#This Row],[m3]]+(Tabella11[[#This Row],[m3]]-Tabella9[[#This Row],[m3]])*((Tabella2[r = 1/λ]-1)/(2-1))</f>
        <v>13.326938342863986</v>
      </c>
      <c r="AU22">
        <f>Tabella9[[#This Row],[m3meno]]+(Tabella11[[#This Row],[m3meno]]-Tabella9[[#This Row],[m3meno]])*((Tabella2[r = 1/λ]-1)/(2-1))</f>
        <v>-26.673061657136014</v>
      </c>
      <c r="AV22">
        <f>Tabella9[[#This Row],[m4]]+(Tabella11[[#This Row],[m4]]-Tabella9[[#This Row],[m4]])*((Tabella2[r = 1/λ]-1)/(2-1))</f>
        <v>23.326938342863986</v>
      </c>
      <c r="AW22">
        <f>Tabella9[[#This Row],[m4meno]]+(Tabella11[[#This Row],[m4meno]]-Tabella9[[#This Row],[m4meno]])*((Tabella2[r = 1/λ]-1)/(2-1))</f>
        <v>-36.67306165713601</v>
      </c>
      <c r="AX22" s="2">
        <f>Tabella9[[#This Row],[Φ_1]]+(Tabella11[[#This Row],[Φ_1]]-Tabella9[[#This Row],[Φ_1]])*((Tabella2[r = 1/λ]-1)/(2-1))</f>
        <v>0</v>
      </c>
      <c r="AY22" s="2">
        <f>Tabella9[[#This Row],[Φ_2]]+(Tabella11[[#This Row],[Φ_2]]-Tabella9[[#This Row],[Φ_2]])*((Tabella2[r = 1/λ]-1)/(2-1))</f>
        <v>2.984</v>
      </c>
      <c r="AZ22" s="2">
        <f>Tabella9[[#This Row],[Φ_3]]+(Tabella11[[#This Row],[Φ_3]]-Tabella9[[#This Row],[Φ_3]])*((Tabella2[r = 1/λ]-1)/(2-1))</f>
        <v>2.6560000000000001</v>
      </c>
      <c r="BA22" s="2">
        <f>Tabella9[[#This Row],[Φ_4]]+(Tabella11[[#This Row],[Φ_4]]-Tabella9[[#This Row],[Φ_4]])*((Tabella2[r = 1/λ]-1)/(2-1))</f>
        <v>2.3635000000000002</v>
      </c>
      <c r="BC22">
        <f>Tabella1[[#This Row],[Φ_3]]+(Tabella1[[#This Row],[Φ_4]]-Tabella1[[#This Row],[Φ_3]])*((Tabella3[[#This Row],[m_P]]-Tabella1[[#This Row],[m3]])/(Tabella1[[#This Row],[m4]]-Tabella1[[#This Row],[m3]]))</f>
        <v>2.7769674925533119</v>
      </c>
    </row>
    <row r="23" spans="1:55" x14ac:dyDescent="0.45">
      <c r="A23">
        <f t="shared" si="11"/>
        <v>16</v>
      </c>
      <c r="B23" s="2">
        <f>Tabella3[[#This Row],[α_abs]]+Tabella2[α0_w]*57.3-Tabella2[iw]*57.3</f>
        <v>13.331538999999999</v>
      </c>
      <c r="C23" s="2">
        <f>Tabella3[[#This Row],[α_b]]+Tabella2[iw]*57.3</f>
        <v>14.832799</v>
      </c>
      <c r="D23">
        <v>5.22473313753695E-2</v>
      </c>
      <c r="E23">
        <v>1.5626654226636201</v>
      </c>
      <c r="F23">
        <f>(Tabella2[d]*COS(Tabella2[φ]+Tabella2[iw]-Tabella2[α0_w]-A24/57.3))+(0.75*Tabella2[Cr]*COS(Tabella3[[#This Row],[α_abs]]/57.3+Tabella2[iw]))</f>
        <v>14.296398936130389</v>
      </c>
      <c r="G23">
        <f>(Tabella3[[#This Row],[X]]/Tabella2[b/2])*100</f>
        <v>105.66444150872425</v>
      </c>
      <c r="H23">
        <f>Tabella2[d]*SIN(Tabella2[φ]+Tabella2[iw]-Tabella2[α0_w]-A24/57.3)</f>
        <v>1.0254195142912084</v>
      </c>
      <c r="I23">
        <f>Tabella3[[#This Row],[m]]/Tabella2[b/2]*100</f>
        <v>7.5788581987524637</v>
      </c>
      <c r="J23">
        <f>Tabella14[[#This Row],[Φ_80]]</f>
        <v>2.8189803931711022</v>
      </c>
      <c r="K23">
        <f>Tabella3[[#This Row],[Φ]]*Tabella3[[#This Row],[CL]]</f>
        <v>4.4051231875751782</v>
      </c>
      <c r="L23">
        <f>(J24-Tabella3[[#This Row],[Φ]])/(B24-Tabella3[[#This Row],[α_b]])</f>
        <v>4.5347921576181616E-2</v>
      </c>
      <c r="M23">
        <f>Tabella3[[#This Row],[Φ]]*Tabella3[[#This Row],[CL_α]]+Tabella3[[#This Row],[CL]]*Tabella3[[#This Row],[dΦ/dα]]</f>
        <v>0.21814783177944053</v>
      </c>
      <c r="N23" s="2">
        <f>Tabella3[[#This Row],[dε/dα]]*Tabella3[[#This Row],[α_abs]]</f>
        <v>3.4903653084710484</v>
      </c>
      <c r="Q23">
        <v>-3.3</v>
      </c>
      <c r="R23">
        <f>Q23*Tabella3[[#This Row],[CL]]</f>
        <v>-5.1567958947899459</v>
      </c>
      <c r="S23">
        <f t="shared" si="0"/>
        <v>4.8432041052100541</v>
      </c>
      <c r="T23">
        <f t="shared" si="1"/>
        <v>-15.156795894789946</v>
      </c>
      <c r="U23">
        <f t="shared" si="2"/>
        <v>14.843204105210054</v>
      </c>
      <c r="V23">
        <f t="shared" si="3"/>
        <v>-25.156795894789944</v>
      </c>
      <c r="W23">
        <f t="shared" si="4"/>
        <v>24.843204105210056</v>
      </c>
      <c r="X23">
        <f t="shared" si="5"/>
        <v>-35.156795894789944</v>
      </c>
      <c r="Z23">
        <v>2.2999999999999998</v>
      </c>
      <c r="AA23">
        <v>2.2000000000000002</v>
      </c>
      <c r="AB23">
        <v>2.0499999999999998</v>
      </c>
      <c r="AD23">
        <v>-5.2</v>
      </c>
      <c r="AE23">
        <f>AD23*Tabella3[[#This Row],[CL]]</f>
        <v>-8.1258601978508249</v>
      </c>
      <c r="AF23">
        <f t="shared" si="6"/>
        <v>1.8741398021491751</v>
      </c>
      <c r="AG23">
        <f t="shared" si="7"/>
        <v>-18.125860197850827</v>
      </c>
      <c r="AH23">
        <f t="shared" si="8"/>
        <v>11.874139802149175</v>
      </c>
      <c r="AI23">
        <f t="shared" si="9"/>
        <v>-28.125860197850827</v>
      </c>
      <c r="AJ23">
        <f>Tabella11[[#This Row],[m3]]+10</f>
        <v>21.874139802149173</v>
      </c>
      <c r="AK23">
        <f t="shared" si="10"/>
        <v>-38.125860197850827</v>
      </c>
      <c r="AM23">
        <v>3.5</v>
      </c>
      <c r="AN23">
        <v>3</v>
      </c>
      <c r="AO23">
        <v>2.6</v>
      </c>
      <c r="AQ23">
        <f>Tabella9[[#This Row],[m1]]+(Tabella11[[#This Row],[m1]]-Tabella9[[#This Row],[m1]])*((Tabella2[r = 1/λ]-1)/(2-1))</f>
        <v>-6.8491625475346467</v>
      </c>
      <c r="AR23">
        <f>Tabella9[[#This Row],[m2]]+(Tabella11[[#This Row],[m2]]-Tabella9[[#This Row],[m2]])*((Tabella2[r = 1/λ]-1)/(2-1))</f>
        <v>3.1508374524653529</v>
      </c>
      <c r="AS23">
        <f>Tabella9[[#This Row],[m2meno]]+(Tabella11[[#This Row],[m2meno]]-Tabella9[[#This Row],[m2meno]])*((Tabella2[r = 1/λ]-1)/(2-1))</f>
        <v>-16.849162547534647</v>
      </c>
      <c r="AT23">
        <f>Tabella9[[#This Row],[m3]]+(Tabella11[[#This Row],[m3]]-Tabella9[[#This Row],[m3]])*((Tabella2[r = 1/λ]-1)/(2-1))</f>
        <v>13.150837452465353</v>
      </c>
      <c r="AU23">
        <f>Tabella9[[#This Row],[m3meno]]+(Tabella11[[#This Row],[m3meno]]-Tabella9[[#This Row],[m3meno]])*((Tabella2[r = 1/λ]-1)/(2-1))</f>
        <v>-26.849162547534647</v>
      </c>
      <c r="AV23">
        <f>Tabella9[[#This Row],[m4]]+(Tabella11[[#This Row],[m4]]-Tabella9[[#This Row],[m4]])*((Tabella2[r = 1/λ]-1)/(2-1))</f>
        <v>23.150837452465353</v>
      </c>
      <c r="AW23">
        <f>Tabella9[[#This Row],[m4meno]]+(Tabella11[[#This Row],[m4meno]]-Tabella9[[#This Row],[m4meno]])*((Tabella2[r = 1/λ]-1)/(2-1))</f>
        <v>-36.849162547534647</v>
      </c>
      <c r="AX23" s="2">
        <f>Tabella9[[#This Row],[Φ_1]]+(Tabella11[[#This Row],[Φ_1]]-Tabella9[[#This Row],[Φ_1]])*((Tabella2[r = 1/λ]-1)/(2-1))</f>
        <v>0</v>
      </c>
      <c r="AY23" s="2">
        <f>Tabella9[[#This Row],[Φ_2]]+(Tabella11[[#This Row],[Φ_2]]-Tabella9[[#This Row],[Φ_2]])*((Tabella2[r = 1/λ]-1)/(2-1))</f>
        <v>2.984</v>
      </c>
      <c r="AZ23" s="2">
        <f>Tabella9[[#This Row],[Φ_3]]+(Tabella11[[#This Row],[Φ_3]]-Tabella9[[#This Row],[Φ_3]])*((Tabella2[r = 1/λ]-1)/(2-1))</f>
        <v>2.6560000000000001</v>
      </c>
      <c r="BA23" s="2">
        <f>Tabella9[[#This Row],[Φ_4]]+(Tabella11[[#This Row],[Φ_4]]-Tabella9[[#This Row],[Φ_4]])*((Tabella2[r = 1/λ]-1)/(2-1))</f>
        <v>2.3635000000000002</v>
      </c>
      <c r="BC23">
        <f>Tabella1[[#This Row],[Φ_3]]+(Tabella1[[#This Row],[Φ_4]]-Tabella1[[#This Row],[Φ_3]])*((Tabella3[[#This Row],[m_P]]-Tabella1[[#This Row],[m3]])/(Tabella1[[#This Row],[m4]]-Tabella1[[#This Row],[m3]]))</f>
        <v>2.8189803931711022</v>
      </c>
    </row>
    <row r="24" spans="1:55" x14ac:dyDescent="0.45">
      <c r="A24">
        <f t="shared" si="11"/>
        <v>17</v>
      </c>
      <c r="B24" s="2">
        <f>Tabella3[[#This Row],[α_abs]]+Tabella2[α0_w]*57.3-Tabella2[iw]*57.3</f>
        <v>14.331538999999999</v>
      </c>
      <c r="C24" s="2">
        <f>Tabella3[[#This Row],[α_b]]+Tabella2[iw]*57.3</f>
        <v>15.832799</v>
      </c>
      <c r="D24">
        <v>2.92199383809684E-2</v>
      </c>
      <c r="E24">
        <v>1.57735657790398</v>
      </c>
      <c r="F24">
        <f>(Tabella2[d]*COS(Tabella2[φ]+Tabella2[iw]-Tabella2[α0_w]-A25/57.3))+(0.75*Tabella2[Cr]*COS(Tabella3[[#This Row],[α_abs]]/57.3+Tabella2[iw]))</f>
        <v>14.302289039239684</v>
      </c>
      <c r="G24">
        <f>(Tabella3[[#This Row],[X]]/Tabella2[b/2])*100</f>
        <v>105.70797516067765</v>
      </c>
      <c r="H24">
        <f>Tabella2[d]*SIN(Tabella2[φ]+Tabella2[iw]-Tabella2[α0_w]-A25/57.3)</f>
        <v>0.80694416040934802</v>
      </c>
      <c r="I24">
        <f>Tabella3[[#This Row],[m]]/Tabella2[b/2]*100</f>
        <v>5.9641105721311751</v>
      </c>
      <c r="J24">
        <f>Tabella14[[#This Row],[Φ_80]]</f>
        <v>2.8643283147472838</v>
      </c>
      <c r="K24">
        <f>Tabella3[[#This Row],[Φ]]*Tabella3[[#This Row],[CL]]</f>
        <v>4.5180671085432493</v>
      </c>
      <c r="L24">
        <f>(J25-Tabella3[[#This Row],[Φ]])/(B25-Tabella3[[#This Row],[α_b]])</f>
        <v>4.9251210539083788E-2</v>
      </c>
      <c r="M24">
        <f>Tabella3[[#This Row],[Φ]]*Tabella3[[#This Row],[CL_α]]+Tabella3[[#This Row],[CL]]*Tabella3[[#This Row],[dΦ/dα]]</f>
        <v>0.16138221777333633</v>
      </c>
      <c r="N24" s="2">
        <f>Tabella3[[#This Row],[dε/dα]]*Tabella3[[#This Row],[α_abs]]</f>
        <v>2.7434977021467177</v>
      </c>
      <c r="Q24">
        <v>-3.3</v>
      </c>
      <c r="R24">
        <f>Q24*Tabella3[[#This Row],[CL]]</f>
        <v>-5.2052767070831338</v>
      </c>
      <c r="S24">
        <f t="shared" si="0"/>
        <v>4.7947232929168662</v>
      </c>
      <c r="T24">
        <f t="shared" si="1"/>
        <v>-15.205276707083133</v>
      </c>
      <c r="U24">
        <f t="shared" si="2"/>
        <v>14.794723292916867</v>
      </c>
      <c r="V24">
        <f t="shared" si="3"/>
        <v>-25.205276707083133</v>
      </c>
      <c r="W24">
        <f t="shared" si="4"/>
        <v>24.794723292916867</v>
      </c>
      <c r="X24">
        <f t="shared" si="5"/>
        <v>-35.205276707083129</v>
      </c>
      <c r="Z24">
        <v>2.2999999999999998</v>
      </c>
      <c r="AA24">
        <v>2.2000000000000002</v>
      </c>
      <c r="AB24">
        <v>2.0499999999999998</v>
      </c>
      <c r="AD24">
        <v>-5.2</v>
      </c>
      <c r="AE24">
        <f>AD24*Tabella3[[#This Row],[CL]]</f>
        <v>-8.2022542051006955</v>
      </c>
      <c r="AF24">
        <f t="shared" si="6"/>
        <v>1.7977457948993045</v>
      </c>
      <c r="AG24">
        <f t="shared" si="7"/>
        <v>-18.202254205100694</v>
      </c>
      <c r="AH24">
        <f t="shared" si="8"/>
        <v>11.797745794899305</v>
      </c>
      <c r="AI24">
        <f t="shared" si="9"/>
        <v>-28.202254205100694</v>
      </c>
      <c r="AJ24">
        <f>Tabella11[[#This Row],[m3]]+10</f>
        <v>21.797745794899306</v>
      </c>
      <c r="AK24">
        <f t="shared" si="10"/>
        <v>-38.202254205100694</v>
      </c>
      <c r="AM24">
        <v>3.5</v>
      </c>
      <c r="AN24">
        <v>3</v>
      </c>
      <c r="AO24">
        <v>2.6</v>
      </c>
      <c r="AQ24">
        <f>Tabella9[[#This Row],[m1]]+(Tabella11[[#This Row],[m1]]-Tabella9[[#This Row],[m1]])*((Tabella2[r = 1/λ]-1)/(2-1))</f>
        <v>-6.9135538809531436</v>
      </c>
      <c r="AR24">
        <f>Tabella9[[#This Row],[m2]]+(Tabella11[[#This Row],[m2]]-Tabella9[[#This Row],[m2]])*((Tabella2[r = 1/λ]-1)/(2-1))</f>
        <v>3.086446119046856</v>
      </c>
      <c r="AS24">
        <f>Tabella9[[#This Row],[m2meno]]+(Tabella11[[#This Row],[m2meno]]-Tabella9[[#This Row],[m2meno]])*((Tabella2[r = 1/λ]-1)/(2-1))</f>
        <v>-16.913553880953142</v>
      </c>
      <c r="AT24">
        <f>Tabella9[[#This Row],[m3]]+(Tabella11[[#This Row],[m3]]-Tabella9[[#This Row],[m3]])*((Tabella2[r = 1/λ]-1)/(2-1))</f>
        <v>13.086446119046856</v>
      </c>
      <c r="AU24">
        <f>Tabella9[[#This Row],[m3meno]]+(Tabella11[[#This Row],[m3meno]]-Tabella9[[#This Row],[m3meno]])*((Tabella2[r = 1/λ]-1)/(2-1))</f>
        <v>-26.913553880953142</v>
      </c>
      <c r="AV24">
        <f>Tabella9[[#This Row],[m4]]+(Tabella11[[#This Row],[m4]]-Tabella9[[#This Row],[m4]])*((Tabella2[r = 1/λ]-1)/(2-1))</f>
        <v>23.086446119046858</v>
      </c>
      <c r="AW24">
        <f>Tabella9[[#This Row],[m4meno]]+(Tabella11[[#This Row],[m4meno]]-Tabella9[[#This Row],[m4meno]])*((Tabella2[r = 1/λ]-1)/(2-1))</f>
        <v>-36.913553880953138</v>
      </c>
      <c r="AX24" s="2">
        <f>Tabella9[[#This Row],[Φ_1]]+(Tabella11[[#This Row],[Φ_1]]-Tabella9[[#This Row],[Φ_1]])*((Tabella2[r = 1/λ]-1)/(2-1))</f>
        <v>0</v>
      </c>
      <c r="AY24" s="2">
        <f>Tabella9[[#This Row],[Φ_2]]+(Tabella11[[#This Row],[Φ_2]]-Tabella9[[#This Row],[Φ_2]])*((Tabella2[r = 1/λ]-1)/(2-1))</f>
        <v>2.984</v>
      </c>
      <c r="AZ24" s="2">
        <f>Tabella9[[#This Row],[Φ_3]]+(Tabella11[[#This Row],[Φ_3]]-Tabella9[[#This Row],[Φ_3]])*((Tabella2[r = 1/λ]-1)/(2-1))</f>
        <v>2.6560000000000001</v>
      </c>
      <c r="BA24" s="2">
        <f>Tabella9[[#This Row],[Φ_4]]+(Tabella11[[#This Row],[Φ_4]]-Tabella9[[#This Row],[Φ_4]])*((Tabella2[r = 1/λ]-1)/(2-1))</f>
        <v>2.3635000000000002</v>
      </c>
      <c r="BC24">
        <f>Tabella1[[#This Row],[Φ_3]]+(Tabella1[[#This Row],[Φ_4]]-Tabella1[[#This Row],[Φ_3]])*((Tabella3[[#This Row],[m_P]]-Tabella1[[#This Row],[m3]])/(Tabella1[[#This Row],[m4]]-Tabella1[[#This Row],[m3]]))</f>
        <v>2.8643283147472838</v>
      </c>
    </row>
    <row r="25" spans="1:55" x14ac:dyDescent="0.45">
      <c r="A25">
        <f>A24+1</f>
        <v>18</v>
      </c>
      <c r="B25" s="2">
        <f>Tabella3[[#This Row],[α_abs]]+Tabella2[α0_w]*57.3-Tabella2[iw]*57.3</f>
        <v>15.331539000000001</v>
      </c>
      <c r="C25" s="2">
        <f>Tabella3[[#This Row],[α_b]]+Tabella2[iw]*57.3</f>
        <v>16.832799000000001</v>
      </c>
      <c r="D25">
        <v>1.6455383118552101E-3</v>
      </c>
      <c r="E25">
        <v>1.5620159470931601</v>
      </c>
      <c r="F25">
        <f>(Tabella2[d]*COS(Tabella2[φ]+Tabella2[iw]-Tabella2[α0_w]-A26/57.3))+(0.75*Tabella2[Cr]*COS(Tabella3[[#This Row],[α_abs]]/57.3+Tabella2[iw]))</f>
        <v>14.303823168299816</v>
      </c>
      <c r="G25">
        <f>(Tabella3[[#This Row],[X]]/Tabella2[b/2])*100</f>
        <v>105.71931388248201</v>
      </c>
      <c r="H25">
        <f>Tabella2[d]*SIN(Tabella2[φ]+Tabella2[iw]-Tabella2[α0_w]-A26/57.3)</f>
        <v>0.58822303972664769</v>
      </c>
      <c r="I25">
        <f>Tabella3[[#This Row],[m]]/Tabella2[b/2]*100</f>
        <v>4.3475464872627327</v>
      </c>
      <c r="J25">
        <f>Tabella14[[#This Row],[Φ_80]]</f>
        <v>2.9135795252863677</v>
      </c>
      <c r="K25">
        <f>Tabella3[[#This Row],[Φ]]*Tabella3[[#This Row],[CL]]</f>
        <v>4.5510576816214252</v>
      </c>
      <c r="L25">
        <f>(J26-Tabella3[[#This Row],[Φ]])/(B26-Tabella3[[#This Row],[α_b]])</f>
        <v>5.2317717487098035E-2</v>
      </c>
      <c r="M25">
        <f>Tabella3[[#This Row],[Φ]]*Tabella3[[#This Row],[CL_α]]+Tabella3[[#This Row],[CL]]*Tabella3[[#This Row],[dΦ/dα]]</f>
        <v>8.6515515763857465E-2</v>
      </c>
      <c r="N25" s="2">
        <f>Tabella3[[#This Row],[dε/dα]]*Tabella3[[#This Row],[α_abs]]</f>
        <v>1.5572792837494345</v>
      </c>
      <c r="Q25">
        <v>-3.3</v>
      </c>
      <c r="R25">
        <f>Q25*Tabella3[[#This Row],[CL]]</f>
        <v>-5.1546526254074276</v>
      </c>
      <c r="S25">
        <f t="shared" si="0"/>
        <v>4.8453473745925724</v>
      </c>
      <c r="T25">
        <f t="shared" si="1"/>
        <v>-15.154652625407428</v>
      </c>
      <c r="U25">
        <f t="shared" si="2"/>
        <v>14.845347374592572</v>
      </c>
      <c r="V25">
        <f t="shared" si="3"/>
        <v>-25.154652625407429</v>
      </c>
      <c r="W25">
        <f t="shared" si="4"/>
        <v>24.845347374592571</v>
      </c>
      <c r="X25">
        <f t="shared" si="5"/>
        <v>-35.154652625407429</v>
      </c>
      <c r="Z25">
        <v>2.2999999999999998</v>
      </c>
      <c r="AA25">
        <v>2.2000000000000002</v>
      </c>
      <c r="AB25">
        <v>2.0499999999999998</v>
      </c>
      <c r="AD25">
        <v>-5.2</v>
      </c>
      <c r="AE25">
        <f>AD25*Tabella3[[#This Row],[CL]]</f>
        <v>-8.1224829248844319</v>
      </c>
      <c r="AF25">
        <f t="shared" si="6"/>
        <v>1.8775170751155681</v>
      </c>
      <c r="AG25">
        <f t="shared" si="7"/>
        <v>-18.12248292488443</v>
      </c>
      <c r="AH25">
        <f t="shared" si="8"/>
        <v>11.877517075115568</v>
      </c>
      <c r="AI25">
        <f t="shared" si="9"/>
        <v>-28.12248292488443</v>
      </c>
      <c r="AJ25">
        <f>Tabella11[[#This Row],[m3]]+10</f>
        <v>21.87751707511557</v>
      </c>
      <c r="AK25">
        <f t="shared" si="10"/>
        <v>-38.12248292488443</v>
      </c>
      <c r="AM25">
        <v>3.5</v>
      </c>
      <c r="AN25">
        <v>3</v>
      </c>
      <c r="AO25">
        <v>2.6</v>
      </c>
      <c r="AQ25">
        <f>Tabella9[[#This Row],[m1]]+(Tabella11[[#This Row],[m1]]-Tabella9[[#This Row],[m1]])*((Tabella2[r = 1/λ]-1)/(2-1))</f>
        <v>-6.8463158961093207</v>
      </c>
      <c r="AR25">
        <f>Tabella9[[#This Row],[m2]]+(Tabella11[[#This Row],[m2]]-Tabella9[[#This Row],[m2]])*((Tabella2[r = 1/λ]-1)/(2-1))</f>
        <v>3.1536841038906798</v>
      </c>
      <c r="AS25">
        <f>Tabella9[[#This Row],[m2meno]]+(Tabella11[[#This Row],[m2meno]]-Tabella9[[#This Row],[m2meno]])*((Tabella2[r = 1/λ]-1)/(2-1))</f>
        <v>-16.846315896109321</v>
      </c>
      <c r="AT25">
        <f>Tabella9[[#This Row],[m3]]+(Tabella11[[#This Row],[m3]]-Tabella9[[#This Row],[m3]])*((Tabella2[r = 1/λ]-1)/(2-1))</f>
        <v>13.153684103890679</v>
      </c>
      <c r="AU25">
        <f>Tabella9[[#This Row],[m3meno]]+(Tabella11[[#This Row],[m3meno]]-Tabella9[[#This Row],[m3meno]])*((Tabella2[r = 1/λ]-1)/(2-1))</f>
        <v>-26.846315896109321</v>
      </c>
      <c r="AV25">
        <f>Tabella9[[#This Row],[m4]]+(Tabella11[[#This Row],[m4]]-Tabella9[[#This Row],[m4]])*((Tabella2[r = 1/λ]-1)/(2-1))</f>
        <v>23.153684103890679</v>
      </c>
      <c r="AW25">
        <f>Tabella9[[#This Row],[m4meno]]+(Tabella11[[#This Row],[m4meno]]-Tabella9[[#This Row],[m4meno]])*((Tabella2[r = 1/λ]-1)/(2-1))</f>
        <v>-36.846315896109317</v>
      </c>
      <c r="AX25" s="2">
        <f>Tabella9[[#This Row],[Φ_1]]+(Tabella11[[#This Row],[Φ_1]]-Tabella9[[#This Row],[Φ_1]])*((Tabella2[r = 1/λ]-1)/(2-1))</f>
        <v>0</v>
      </c>
      <c r="AY25" s="2">
        <f>Tabella9[[#This Row],[Φ_2]]+(Tabella11[[#This Row],[Φ_2]]-Tabella9[[#This Row],[Φ_2]])*((Tabella2[r = 1/λ]-1)/(2-1))</f>
        <v>2.984</v>
      </c>
      <c r="AZ25" s="2">
        <f>Tabella9[[#This Row],[Φ_3]]+(Tabella11[[#This Row],[Φ_3]]-Tabella9[[#This Row],[Φ_3]])*((Tabella2[r = 1/λ]-1)/(2-1))</f>
        <v>2.6560000000000001</v>
      </c>
      <c r="BA25" s="2">
        <f>Tabella9[[#This Row],[Φ_4]]+(Tabella11[[#This Row],[Φ_4]]-Tabella9[[#This Row],[Φ_4]])*((Tabella2[r = 1/λ]-1)/(2-1))</f>
        <v>2.3635000000000002</v>
      </c>
      <c r="BC25">
        <f>Tabella1[[#This Row],[Φ_3]]+(Tabella1[[#This Row],[Φ_4]]-Tabella1[[#This Row],[Φ_3]])*((Tabella3[[#This Row],[m_P]]-Tabella1[[#This Row],[m3]])/(Tabella1[[#This Row],[m4]]-Tabella1[[#This Row],[m3]]))</f>
        <v>2.9135795252863677</v>
      </c>
    </row>
    <row r="26" spans="1:55" x14ac:dyDescent="0.45">
      <c r="A26">
        <f t="shared" ref="A26:A27" si="12">A25+1</f>
        <v>19</v>
      </c>
      <c r="B26" s="2">
        <f>Tabella3[[#This Row],[α_abs]]+Tabella2[α0_w]*57.3-Tabella2[iw]*57.3</f>
        <v>16.331539000000003</v>
      </c>
      <c r="C26" s="2">
        <f>Tabella3[[#This Row],[α_b]]+Tabella2[iw]*57.3</f>
        <v>17.832799000000001</v>
      </c>
      <c r="D26">
        <v>-3.0480375670981299E-2</v>
      </c>
      <c r="E26">
        <v>1.52305821961917</v>
      </c>
      <c r="F26">
        <f>(Tabella2[d]*COS(Tabella2[φ]+Tabella2[iw]-Tabella2[α0_w]-A27/57.3))+(0.75*Tabella2[Cr]*COS(Tabella3[[#This Row],[α_abs]]/57.3+Tabella2[iw]))</f>
        <v>14.301000856069047</v>
      </c>
      <c r="G26">
        <f>(Tabella3[[#This Row],[X]]/Tabella2[b/2])*100</f>
        <v>105.69845422076163</v>
      </c>
      <c r="H26">
        <f>Tabella2[d]*SIN(Tabella2[φ]+Tabella2[iw]-Tabella2[α0_w]-A27/57.3)</f>
        <v>0.36932276700128197</v>
      </c>
      <c r="I26">
        <f>Tabella3[[#This Row],[m]]/Tabella2[b/2]*100</f>
        <v>2.729658292692402</v>
      </c>
      <c r="J26">
        <f>Tabella14[[#This Row],[Φ_80]]</f>
        <v>2.9658972427734658</v>
      </c>
      <c r="K26">
        <f>Tabella3[[#This Row],[Φ]]*Tabella3[[#This Row],[CL]]</f>
        <v>4.5172341741519597</v>
      </c>
      <c r="L26">
        <v>4.4544E-2</v>
      </c>
      <c r="M26">
        <f>Tabella3[[#This Row],[Φ]]*Tabella3[[#This Row],[CL_α]]+Tabella3[[#This Row],[CL]]*Tabella3[[#This Row],[dΦ/dα]]</f>
        <v>-2.2558556826546547E-2</v>
      </c>
      <c r="N26" s="2">
        <f>Tabella3[[#This Row],[dε/dα]]*Tabella3[[#This Row],[α_abs]]</f>
        <v>-0.42861257970438438</v>
      </c>
      <c r="Q26">
        <v>-3.3</v>
      </c>
      <c r="R26">
        <f>Q26*Tabella3[[#This Row],[CL]]</f>
        <v>-5.0260921247432604</v>
      </c>
      <c r="S26">
        <f t="shared" si="0"/>
        <v>4.9739078752567396</v>
      </c>
      <c r="T26">
        <f t="shared" si="1"/>
        <v>-15.026092124743261</v>
      </c>
      <c r="U26">
        <f t="shared" si="2"/>
        <v>14.973907875256739</v>
      </c>
      <c r="V26">
        <f t="shared" si="3"/>
        <v>-25.026092124743261</v>
      </c>
      <c r="W26">
        <f t="shared" si="4"/>
        <v>24.973907875256739</v>
      </c>
      <c r="X26">
        <f t="shared" si="5"/>
        <v>-35.026092124743258</v>
      </c>
      <c r="Y26">
        <v>2.36</v>
      </c>
      <c r="Z26">
        <v>2.2999999999999998</v>
      </c>
      <c r="AA26">
        <v>2.2000000000000002</v>
      </c>
      <c r="AB26">
        <v>2.0499999999999998</v>
      </c>
      <c r="AD26">
        <v>-5.2</v>
      </c>
      <c r="AE26">
        <f>AD26*Tabella3[[#This Row],[CL]]</f>
        <v>-7.9199027420196844</v>
      </c>
      <c r="AF26">
        <f t="shared" si="6"/>
        <v>2.0800972579803156</v>
      </c>
      <c r="AG26">
        <f t="shared" si="7"/>
        <v>-17.919902742019683</v>
      </c>
      <c r="AH26">
        <f t="shared" si="8"/>
        <v>12.080097257980317</v>
      </c>
      <c r="AI26">
        <f t="shared" si="9"/>
        <v>-27.919902742019683</v>
      </c>
      <c r="AJ26">
        <f>Tabella11[[#This Row],[m3]]+10</f>
        <v>22.080097257980317</v>
      </c>
      <c r="AK26">
        <f t="shared" si="10"/>
        <v>-37.919902742019687</v>
      </c>
      <c r="AM26">
        <v>3.5</v>
      </c>
      <c r="AN26">
        <v>3</v>
      </c>
      <c r="AO26">
        <v>2.6</v>
      </c>
      <c r="AQ26">
        <f>Tabella9[[#This Row],[m1]]+(Tabella11[[#This Row],[m1]]-Tabella9[[#This Row],[m1]])*((Tabella2[r = 1/λ]-1)/(2-1))</f>
        <v>-6.6755641765908225</v>
      </c>
      <c r="AR26">
        <f>Tabella9[[#This Row],[m2]]+(Tabella11[[#This Row],[m2]]-Tabella9[[#This Row],[m2]])*((Tabella2[r = 1/λ]-1)/(2-1))</f>
        <v>3.3244358234091775</v>
      </c>
      <c r="AS26">
        <f>Tabella9[[#This Row],[m2meno]]+(Tabella11[[#This Row],[m2meno]]-Tabella9[[#This Row],[m2meno]])*((Tabella2[r = 1/λ]-1)/(2-1))</f>
        <v>-16.675564176590822</v>
      </c>
      <c r="AT26">
        <f>Tabella9[[#This Row],[m3]]+(Tabella11[[#This Row],[m3]]-Tabella9[[#This Row],[m3]])*((Tabella2[r = 1/λ]-1)/(2-1))</f>
        <v>13.324435823409178</v>
      </c>
      <c r="AU26">
        <f>Tabella9[[#This Row],[m3meno]]+(Tabella11[[#This Row],[m3meno]]-Tabella9[[#This Row],[m3meno]])*((Tabella2[r = 1/λ]-1)/(2-1))</f>
        <v>-26.675564176590822</v>
      </c>
      <c r="AV26">
        <f>Tabella9[[#This Row],[m4]]+(Tabella11[[#This Row],[m4]]-Tabella9[[#This Row],[m4]])*((Tabella2[r = 1/λ]-1)/(2-1))</f>
        <v>23.324435823409178</v>
      </c>
      <c r="AW26">
        <f>Tabella9[[#This Row],[m4meno]]+(Tabella11[[#This Row],[m4meno]]-Tabella9[[#This Row],[m4meno]])*((Tabella2[r = 1/λ]-1)/(2-1))</f>
        <v>-36.675564176590825</v>
      </c>
      <c r="AX26" s="2">
        <f>Tabella9[[#This Row],[Φ_1]]+(Tabella11[[#This Row],[Φ_1]]-Tabella9[[#This Row],[Φ_1]])*((Tabella2[r = 1/λ]-1)/(2-1))</f>
        <v>1.0147999999999997</v>
      </c>
      <c r="AY26" s="2">
        <f>Tabella9[[#This Row],[Φ_2]]+(Tabella11[[#This Row],[Φ_2]]-Tabella9[[#This Row],[Φ_2]])*((Tabella2[r = 1/λ]-1)/(2-1))</f>
        <v>2.984</v>
      </c>
      <c r="AZ26" s="2">
        <f>Tabella9[[#This Row],[Φ_3]]+(Tabella11[[#This Row],[Φ_3]]-Tabella9[[#This Row],[Φ_3]])*((Tabella2[r = 1/λ]-1)/(2-1))</f>
        <v>2.6560000000000001</v>
      </c>
      <c r="BA26" s="2">
        <f>Tabella9[[#This Row],[Φ_4]]+(Tabella11[[#This Row],[Φ_4]]-Tabella9[[#This Row],[Φ_4]])*((Tabella2[r = 1/λ]-1)/(2-1))</f>
        <v>2.3635000000000002</v>
      </c>
      <c r="BC26">
        <f>Tabella1[[#This Row],[Φ_3]]+(Tabella1[[#This Row],[Φ_4]]-Tabella1[[#This Row],[Φ_3]])*((Tabella3[[#This Row],[m_P]]-Tabella1[[#This Row],[m3]])/(Tabella1[[#This Row],[m4]]-Tabella1[[#This Row],[m3]]))</f>
        <v>2.9658972427734658</v>
      </c>
    </row>
    <row r="27" spans="1:55" x14ac:dyDescent="0.45">
      <c r="A27">
        <f t="shared" si="12"/>
        <v>20</v>
      </c>
      <c r="B27" s="2">
        <f>Tabella3[[#This Row],[α_abs]]+Tabella2[α0_w]*57.3-Tabella2[iw]*57.3</f>
        <v>17.331539000000003</v>
      </c>
      <c r="C27" s="2">
        <f>Tabella3[[#This Row],[α_b]]+Tabella2[iw]*57.3</f>
        <v>18.832799000000001</v>
      </c>
      <c r="D27">
        <v>-5.7431024161159298E-2</v>
      </c>
      <c r="E27">
        <v>1.52305821961917</v>
      </c>
      <c r="F27">
        <f>(Tabella2[d]*COS(Tabella2[φ]+Tabella2[iw]-Tabella2[α0_w]-A28/57.3))+(0.75*Tabella2[Cr]*COS(Tabella3[[#This Row],[α_abs]]/57.3+Tabella2[iw]))</f>
        <v>13.406424606476154</v>
      </c>
      <c r="G27">
        <f>(Tabella3[[#This Row],[X]]/Tabella2[b/2])*100</f>
        <v>99.086656367155612</v>
      </c>
      <c r="H27">
        <f>Tabella2[d]*SIN(Tabella2[φ]+Tabella2[iw]-Tabella2[α0_w]-A28/57.3)</f>
        <v>4.6380237672928493</v>
      </c>
      <c r="I27">
        <f>Tabella3[[#This Row],[m]]/Tabella2[b/2]*100</f>
        <v>34.279554821085362</v>
      </c>
      <c r="J27">
        <f>Tabella14[[#This Row],[Φ_80]]</f>
        <v>2.0430627693179719</v>
      </c>
      <c r="K27">
        <f>Tabella3[[#This Row],[Φ]]*Tabella3[[#This Row],[CL]]</f>
        <v>3.1117035440076415</v>
      </c>
      <c r="L27">
        <f>(J28-Tabella3[[#This Row],[Φ]])/(B28-Tabella3[[#This Row],[α_b]])</f>
        <v>0.11788120889425754</v>
      </c>
      <c r="M27">
        <f>Tabella3[[#This Row],[Φ]]*Tabella3[[#This Row],[CL_α]]+Tabella3[[#This Row],[CL]]*Tabella3[[#This Row],[dΦ/dα]]</f>
        <v>6.2204756877577899E-2</v>
      </c>
      <c r="N27" s="2">
        <f>Tabella3[[#This Row],[dε/dα]]*Tabella3[[#This Row],[α_abs]]</f>
        <v>1.2440951375515579</v>
      </c>
      <c r="Q27">
        <v>-3.3</v>
      </c>
      <c r="R27">
        <f>Q27*Tabella3[[#This Row],[CL]]</f>
        <v>-5.0260921247432604</v>
      </c>
      <c r="S27">
        <f t="shared" si="0"/>
        <v>4.9739078752567396</v>
      </c>
      <c r="T27">
        <f t="shared" si="1"/>
        <v>-15.026092124743261</v>
      </c>
      <c r="U27">
        <f t="shared" si="2"/>
        <v>14.973907875256739</v>
      </c>
      <c r="V27">
        <f t="shared" si="3"/>
        <v>-25.026092124743261</v>
      </c>
      <c r="W27">
        <f t="shared" si="4"/>
        <v>24.973907875256739</v>
      </c>
      <c r="X27">
        <f t="shared" si="5"/>
        <v>-35.026092124743258</v>
      </c>
      <c r="Y27">
        <v>2.36</v>
      </c>
      <c r="Z27">
        <v>2.2999999999999998</v>
      </c>
      <c r="AA27">
        <v>2.2000000000000002</v>
      </c>
      <c r="AB27">
        <v>2.0499999999999998</v>
      </c>
      <c r="AD27">
        <v>-5.2</v>
      </c>
      <c r="AE27">
        <f>AD27*Tabella3[[#This Row],[CL]]</f>
        <v>-7.9199027420196844</v>
      </c>
      <c r="AF27">
        <f>AE27+10</f>
        <v>2.0800972579803156</v>
      </c>
      <c r="AG27">
        <f t="shared" si="7"/>
        <v>-17.919902742019683</v>
      </c>
      <c r="AH27">
        <f t="shared" si="8"/>
        <v>12.080097257980317</v>
      </c>
      <c r="AI27">
        <f t="shared" si="9"/>
        <v>-27.919902742019683</v>
      </c>
      <c r="AJ27">
        <f>Tabella11[[#This Row],[m3]]+10</f>
        <v>22.080097257980317</v>
      </c>
      <c r="AK27">
        <f t="shared" si="10"/>
        <v>-37.919902742019687</v>
      </c>
      <c r="AL27">
        <v>3.8</v>
      </c>
      <c r="AM27">
        <v>3.5</v>
      </c>
      <c r="AN27">
        <v>3</v>
      </c>
      <c r="AO27">
        <v>2.6</v>
      </c>
      <c r="AQ27">
        <f>Tabella9[[#This Row],[m1]]+(Tabella11[[#This Row],[m1]]-Tabella9[[#This Row],[m1]])*((Tabella2[r = 1/λ]-1)/(2-1))</f>
        <v>-6.6755641765908225</v>
      </c>
      <c r="AR27">
        <f>Tabella9[[#This Row],[m2]]+(Tabella11[[#This Row],[m2]]-Tabella9[[#This Row],[m2]])*((Tabella2[r = 1/λ]-1)/(2-1))</f>
        <v>3.3244358234091775</v>
      </c>
      <c r="AS27">
        <f>Tabella9[[#This Row],[m2meno]]+(Tabella11[[#This Row],[m2meno]]-Tabella9[[#This Row],[m2meno]])*((Tabella2[r = 1/λ]-1)/(2-1))</f>
        <v>-16.675564176590822</v>
      </c>
      <c r="AT27">
        <f>Tabella9[[#This Row],[m3]]+(Tabella11[[#This Row],[m3]]-Tabella9[[#This Row],[m3]])*((Tabella2[r = 1/λ]-1)/(2-1))</f>
        <v>13.324435823409178</v>
      </c>
      <c r="AU27">
        <f>Tabella9[[#This Row],[m3meno]]+(Tabella11[[#This Row],[m3meno]]-Tabella9[[#This Row],[m3meno]])*((Tabella2[r = 1/λ]-1)/(2-1))</f>
        <v>-26.675564176590822</v>
      </c>
      <c r="AV27">
        <f>Tabella9[[#This Row],[m4]]+(Tabella11[[#This Row],[m4]]-Tabella9[[#This Row],[m4]])*((Tabella2[r = 1/λ]-1)/(2-1))</f>
        <v>23.324435823409178</v>
      </c>
      <c r="AW27">
        <f>Tabella9[[#This Row],[m4meno]]+(Tabella11[[#This Row],[m4meno]]-Tabella9[[#This Row],[m4meno]])*((Tabella2[r = 1/λ]-1)/(2-1))</f>
        <v>-36.675564176590825</v>
      </c>
      <c r="AX27" s="2">
        <f>Tabella9[[#This Row],[Φ_1]]+(Tabella11[[#This Row],[Φ_1]]-Tabella9[[#This Row],[Φ_1]])*((Tabella2[r = 1/λ]-1)/(2-1))</f>
        <v>3.1808000000000001</v>
      </c>
      <c r="AY27" s="2">
        <f>Tabella9[[#This Row],[Φ_2]]+(Tabella11[[#This Row],[Φ_2]]-Tabella9[[#This Row],[Φ_2]])*((Tabella2[r = 1/λ]-1)/(2-1))</f>
        <v>2.984</v>
      </c>
      <c r="AZ27" s="2">
        <f>Tabella9[[#This Row],[Φ_3]]+(Tabella11[[#This Row],[Φ_3]]-Tabella9[[#This Row],[Φ_3]])*((Tabella2[r = 1/λ]-1)/(2-1))</f>
        <v>2.6560000000000001</v>
      </c>
      <c r="BA27" s="2">
        <f>Tabella9[[#This Row],[Φ_4]]+(Tabella11[[#This Row],[Φ_4]]-Tabella9[[#This Row],[Φ_4]])*((Tabella2[r = 1/λ]-1)/(2-1))</f>
        <v>2.3635000000000002</v>
      </c>
      <c r="BC27">
        <f>Tabella1[[#This Row],[Φ_3]]+(Tabella1[[#This Row],[Φ_4]]-Tabella1[[#This Row],[Φ_3]])*((Tabella3[[#This Row],[m_P]]-Tabella1[[#This Row],[m3]])/(Tabella1[[#This Row],[m4]]-Tabella1[[#This Row],[m3]]))</f>
        <v>2.0430627693179719</v>
      </c>
    </row>
    <row r="28" spans="1:55" ht="13.9" customHeight="1" x14ac:dyDescent="0.45">
      <c r="R28" t="e">
        <f>Q28*Tabella3[[#This Row],[CL]]</f>
        <v>#VALUE!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t="e">
        <f t="shared" si="4"/>
        <v>#VALUE!</v>
      </c>
      <c r="X28" t="e">
        <f t="shared" si="5"/>
        <v>#VALUE!</v>
      </c>
      <c r="AA28">
        <v>2.2000000000000002</v>
      </c>
      <c r="AI28">
        <f t="shared" si="9"/>
        <v>-10</v>
      </c>
    </row>
    <row r="33" spans="17:55" x14ac:dyDescent="0.45">
      <c r="Q33" s="9" t="s">
        <v>36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7:55" x14ac:dyDescent="0.45">
      <c r="R34" s="10" t="s">
        <v>25</v>
      </c>
      <c r="S34" s="10"/>
      <c r="T34" s="10"/>
      <c r="U34" s="10"/>
      <c r="V34" s="10"/>
      <c r="W34" s="10"/>
      <c r="X34" s="10"/>
      <c r="Y34" s="6"/>
      <c r="Z34" s="6"/>
      <c r="AA34" s="6"/>
      <c r="AB34" s="6"/>
      <c r="AD34" s="10" t="s">
        <v>26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Q34" s="10" t="s">
        <v>31</v>
      </c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7:55" x14ac:dyDescent="0.45">
      <c r="Q35" s="7" t="s">
        <v>32</v>
      </c>
      <c r="R35" s="8" t="s">
        <v>27</v>
      </c>
      <c r="S35" s="8" t="s">
        <v>28</v>
      </c>
      <c r="T35" s="8" t="s">
        <v>33</v>
      </c>
      <c r="U35" s="8" t="s">
        <v>29</v>
      </c>
      <c r="V35" s="8" t="s">
        <v>34</v>
      </c>
      <c r="W35" s="8" t="s">
        <v>30</v>
      </c>
      <c r="X35" s="8" t="s">
        <v>35</v>
      </c>
      <c r="Y35" s="8" t="s">
        <v>39</v>
      </c>
      <c r="Z35" s="8" t="s">
        <v>40</v>
      </c>
      <c r="AA35" s="8" t="s">
        <v>37</v>
      </c>
      <c r="AB35" s="8" t="s">
        <v>38</v>
      </c>
      <c r="AC35" s="1"/>
      <c r="AD35" s="8" t="s">
        <v>32</v>
      </c>
      <c r="AE35" s="8" t="s">
        <v>27</v>
      </c>
      <c r="AF35" s="8" t="s">
        <v>28</v>
      </c>
      <c r="AG35" s="8" t="s">
        <v>33</v>
      </c>
      <c r="AH35" s="8" t="s">
        <v>29</v>
      </c>
      <c r="AI35" s="8" t="s">
        <v>34</v>
      </c>
      <c r="AJ35" s="8" t="s">
        <v>30</v>
      </c>
      <c r="AK35" s="8" t="s">
        <v>35</v>
      </c>
      <c r="AL35" s="8" t="s">
        <v>39</v>
      </c>
      <c r="AM35" s="8" t="s">
        <v>40</v>
      </c>
      <c r="AN35" s="8" t="s">
        <v>37</v>
      </c>
      <c r="AO35" s="8" t="s">
        <v>38</v>
      </c>
      <c r="AP35" s="1"/>
      <c r="AQ35" s="8" t="s">
        <v>27</v>
      </c>
      <c r="AR35" s="8" t="s">
        <v>28</v>
      </c>
      <c r="AS35" s="8" t="s">
        <v>33</v>
      </c>
      <c r="AT35" s="8" t="s">
        <v>29</v>
      </c>
      <c r="AU35" s="8" t="s">
        <v>34</v>
      </c>
      <c r="AV35" s="8" t="s">
        <v>30</v>
      </c>
      <c r="AW35" s="8" t="s">
        <v>35</v>
      </c>
      <c r="AX35" s="8" t="s">
        <v>39</v>
      </c>
      <c r="AY35" s="8" t="s">
        <v>40</v>
      </c>
      <c r="AZ35" s="8" t="s">
        <v>37</v>
      </c>
      <c r="BA35" s="8" t="s">
        <v>38</v>
      </c>
      <c r="BC35" t="s">
        <v>41</v>
      </c>
    </row>
    <row r="36" spans="17:55" x14ac:dyDescent="0.45">
      <c r="Q36">
        <v>-3.3</v>
      </c>
      <c r="R36">
        <f>E7*Tabella18[[#This Row],[mTab]]</f>
        <v>-0.38082828570485489</v>
      </c>
      <c r="S36">
        <f>Tabella18[[#This Row],[m1]]+10</f>
        <v>9.6191717142951454</v>
      </c>
      <c r="T36">
        <f>Tabella18[[#This Row],[m1]]-10</f>
        <v>-10.380828285704855</v>
      </c>
      <c r="U36">
        <f>Tabella18[[#This Row],[m1]]+20</f>
        <v>19.619171714295145</v>
      </c>
      <c r="V36">
        <f>Tabella18[[#This Row],[m2meno]]-10</f>
        <v>-20.380828285704855</v>
      </c>
      <c r="W36">
        <f>Tabella18[[#This Row],[m1]]+30</f>
        <v>29.619171714295145</v>
      </c>
      <c r="X36">
        <f>Tabella18[[#This Row],[m3meno]]-10</f>
        <v>-30.380828285704855</v>
      </c>
      <c r="AA36">
        <v>2.1</v>
      </c>
      <c r="AB36">
        <v>1.95</v>
      </c>
      <c r="AD36">
        <v>-5.2</v>
      </c>
      <c r="AE36">
        <f>Tabella19[[#This Row],[mTab]]*E7</f>
        <v>-0.60009305626219556</v>
      </c>
      <c r="AF36">
        <f>Tabella19[[#This Row],[m1]]+10</f>
        <v>9.399906943737804</v>
      </c>
      <c r="AG36">
        <f>Tabella19[[#This Row],[m1]]-10</f>
        <v>-10.600093056262196</v>
      </c>
      <c r="AH36">
        <f>Tabella19[[#This Row],[m2]]+10</f>
        <v>19.399906943737804</v>
      </c>
      <c r="AI36">
        <f>Tabella19[[#This Row],[m2meno]]-10</f>
        <v>-20.600093056262196</v>
      </c>
      <c r="AJ36">
        <f>Tabella19[[#This Row],[m3]]+10</f>
        <v>29.399906943737804</v>
      </c>
      <c r="AK36">
        <f>Tabella19[[#This Row],[m3meno]]-10</f>
        <v>-30.600093056262196</v>
      </c>
      <c r="AN36">
        <v>2.85</v>
      </c>
      <c r="AO36">
        <v>2.5</v>
      </c>
      <c r="AQ36">
        <f>Tabella18[[#This Row],[m1]]+(Tabella19[[#This Row],[m1]]-Tabella18[[#This Row],[m1]])*((Tabella2[r = 1/λ]-1)/(2-1))</f>
        <v>-0.50580920492253911</v>
      </c>
      <c r="AR36">
        <f>Tabella18[[#This Row],[m2]]+(Tabella19[[#This Row],[m2]]-Tabella18[[#This Row],[m2]])*((Tabella2[r = 1/λ]-1)/(2-1))</f>
        <v>9.4941907950774613</v>
      </c>
      <c r="AS36">
        <f>Tabella18[[#This Row],[m2meno]]+(Tabella19[[#This Row],[m2meno]]-Tabella18[[#This Row],[m2meno]])*((Tabella2[r = 1/λ]-1)/(2-1))</f>
        <v>-10.505809204922539</v>
      </c>
      <c r="AT36">
        <f>Tabella18[[#This Row],[m3]]+(Tabella19[[#This Row],[m3]]-Tabella18[[#This Row],[m3]])*((Tabella2[r = 1/λ]-1)/(2-1))</f>
        <v>19.494190795077461</v>
      </c>
      <c r="AU36">
        <f>Tabella18[[#This Row],[m3meno]]+(Tabella19[[#This Row],[m3meno]]-Tabella18[[#This Row],[m3meno]])*((Tabella2[r = 1/λ]-1)/(2-1))</f>
        <v>-20.505809204922539</v>
      </c>
      <c r="AV36">
        <f>Tabella18[[#This Row],[m4]]+(Tabella19[[#This Row],[m4]]-Tabella18[[#This Row],[m4]])*((Tabella2[r = 1/λ]-1)/(2-1))</f>
        <v>29.494190795077461</v>
      </c>
      <c r="AW36">
        <f>Tabella18[[#This Row],[m4meno]]+(Tabella19[[#This Row],[m4meno]]-Tabella18[[#This Row],[m4meno]])*((Tabella2[r = 1/λ]-1)/(2-1))</f>
        <v>-30.505809204922539</v>
      </c>
      <c r="AX36">
        <f>Tabella18[[#This Row],[Φ_1]]+(Tabella19[[#This Row],[Φ_1]]-Tabella18[[#This Row],[Φ_1]])*((Tabella2[r = 1/λ]-1)/(2-1))</f>
        <v>0</v>
      </c>
      <c r="AY36">
        <f>Tabella18[[#This Row],[Φ_2]]+(Tabella19[[#This Row],[Φ_2]]-Tabella18[[#This Row],[Φ_2]])*((Tabella2[r = 1/λ]-1)/(2-1))</f>
        <v>0</v>
      </c>
      <c r="AZ36">
        <f>Tabella18[[#This Row],[Φ_3]]+(Tabella19[[#This Row],[Φ_3]]-Tabella18[[#This Row],[Φ_3]])*((Tabella2[r = 1/λ]-1)/(2-1))</f>
        <v>2.5275000000000003</v>
      </c>
      <c r="BA36">
        <f>Tabella18[[#This Row],[Φ_4]]+(Tabella19[[#This Row],[Φ_4]]-Tabella18[[#This Row],[Φ_4]])*((Tabella2[r = 1/λ]-1)/(2-1))</f>
        <v>2.2635000000000001</v>
      </c>
      <c r="BC36">
        <f>Tabella21[[#This Row],[Φ_3]]+(Tabella21[[#This Row],[Φ_4]]-Tabella21[[#This Row],[Φ_3]])*(I7-Tabella21[[#This Row],[m3]])/(Tabella21[[#This Row],[m4]]-Tabella21[[#This Row],[m3]])</f>
        <v>2.1770211874275192</v>
      </c>
    </row>
    <row r="37" spans="17:55" x14ac:dyDescent="0.45">
      <c r="Q37">
        <v>-3.3</v>
      </c>
      <c r="R37">
        <f>E8*Tabella18[[#This Row],[mTab]]</f>
        <v>-0.70516163905253548</v>
      </c>
      <c r="S37">
        <f>Tabella18[[#This Row],[m1]]+10</f>
        <v>9.2948383609474643</v>
      </c>
      <c r="T37">
        <f>Tabella18[[#This Row],[m1]]-10</f>
        <v>-10.705161639052536</v>
      </c>
      <c r="U37">
        <f>Tabella18[[#This Row],[m1]]+20</f>
        <v>19.294838360947466</v>
      </c>
      <c r="V37">
        <f>Tabella18[[#This Row],[m2meno]]-10</f>
        <v>-20.705161639052534</v>
      </c>
      <c r="W37">
        <f>Tabella18[[#This Row],[m1]]+30</f>
        <v>29.294838360947466</v>
      </c>
      <c r="X37">
        <f>Tabella18[[#This Row],[m3meno]]-10</f>
        <v>-30.705161639052534</v>
      </c>
      <c r="AA37">
        <v>2.1</v>
      </c>
      <c r="AB37">
        <v>1.95</v>
      </c>
      <c r="AD37">
        <v>-5.2</v>
      </c>
      <c r="AE37">
        <f>Tabella19[[#This Row],[mTab]]*E8</f>
        <v>-1.1111637948706621</v>
      </c>
      <c r="AF37">
        <f>Tabella19[[#This Row],[m1]]+10</f>
        <v>8.888836205129337</v>
      </c>
      <c r="AG37">
        <f>Tabella19[[#This Row],[m1]]-10</f>
        <v>-11.111163794870663</v>
      </c>
      <c r="AH37">
        <f>Tabella19[[#This Row],[m2]]+10</f>
        <v>18.888836205129337</v>
      </c>
      <c r="AI37">
        <f>Tabella19[[#This Row],[m2meno]]-10</f>
        <v>-21.111163794870663</v>
      </c>
      <c r="AJ37">
        <f>Tabella19[[#This Row],[m3]]+10</f>
        <v>28.888836205129337</v>
      </c>
      <c r="AK37">
        <f>Tabella19[[#This Row],[m3meno]]-10</f>
        <v>-31.111163794870663</v>
      </c>
      <c r="AN37">
        <v>2.85</v>
      </c>
      <c r="AO37">
        <v>2.5</v>
      </c>
      <c r="AQ37">
        <f>Tabella18[[#This Row],[m1]]+(Tabella19[[#This Row],[m1]]-Tabella18[[#This Row],[m1]])*((Tabella2[r = 1/λ]-1)/(2-1))</f>
        <v>-0.93658286786886769</v>
      </c>
      <c r="AR37">
        <f>Tabella18[[#This Row],[m2]]+(Tabella19[[#This Row],[m2]]-Tabella18[[#This Row],[m2]])*((Tabella2[r = 1/λ]-1)/(2-1))</f>
        <v>9.0634171321311321</v>
      </c>
      <c r="AS37">
        <f>Tabella18[[#This Row],[m2meno]]+(Tabella19[[#This Row],[m2meno]]-Tabella18[[#This Row],[m2meno]])*((Tabella2[r = 1/λ]-1)/(2-1))</f>
        <v>-10.936582867868868</v>
      </c>
      <c r="AT37">
        <f>Tabella18[[#This Row],[m3]]+(Tabella19[[#This Row],[m3]]-Tabella18[[#This Row],[m3]])*((Tabella2[r = 1/λ]-1)/(2-1))</f>
        <v>19.063417132131132</v>
      </c>
      <c r="AU37">
        <f>Tabella18[[#This Row],[m3meno]]+(Tabella19[[#This Row],[m3meno]]-Tabella18[[#This Row],[m3meno]])*((Tabella2[r = 1/λ]-1)/(2-1))</f>
        <v>-20.936582867868868</v>
      </c>
      <c r="AV37">
        <f>Tabella18[[#This Row],[m4]]+(Tabella19[[#This Row],[m4]]-Tabella18[[#This Row],[m4]])*((Tabella2[r = 1/λ]-1)/(2-1))</f>
        <v>29.063417132131132</v>
      </c>
      <c r="AW37">
        <f>Tabella18[[#This Row],[m4meno]]+(Tabella19[[#This Row],[m4meno]]-Tabella18[[#This Row],[m4meno]])*((Tabella2[r = 1/λ]-1)/(2-1))</f>
        <v>-30.936582867868868</v>
      </c>
      <c r="AX37">
        <f>Tabella18[[#This Row],[Φ_1]]+(Tabella19[[#This Row],[Φ_1]]-Tabella18[[#This Row],[Φ_1]])*((Tabella2[r = 1/λ]-1)/(2-1))</f>
        <v>0</v>
      </c>
      <c r="AY37">
        <f>Tabella18[[#This Row],[Φ_2]]+(Tabella19[[#This Row],[Φ_2]]-Tabella18[[#This Row],[Φ_2]])*((Tabella2[r = 1/λ]-1)/(2-1))</f>
        <v>0</v>
      </c>
      <c r="AZ37">
        <f>Tabella18[[#This Row],[Φ_3]]+(Tabella19[[#This Row],[Φ_3]]-Tabella18[[#This Row],[Φ_3]])*((Tabella2[r = 1/λ]-1)/(2-1))</f>
        <v>2.5275000000000003</v>
      </c>
      <c r="BA37">
        <f>Tabella18[[#This Row],[Φ_4]]+(Tabella19[[#This Row],[Φ_4]]-Tabella18[[#This Row],[Φ_4]])*((Tabella2[r = 1/λ]-1)/(2-1))</f>
        <v>2.2635000000000001</v>
      </c>
      <c r="BC37">
        <f>Tabella21[[#This Row],[Φ_3]]+(Tabella21[[#This Row],[Φ_4]]-Tabella21[[#This Row],[Φ_3]])*(I8-Tabella21[[#This Row],[m3]])/(Tabella21[[#This Row],[m4]]-Tabella21[[#This Row],[m3]])</f>
        <v>2.2057670472144091</v>
      </c>
    </row>
    <row r="38" spans="17:55" x14ac:dyDescent="0.45">
      <c r="Q38">
        <v>-3.3</v>
      </c>
      <c r="R38">
        <f>E9*Tabella18[[#This Row],[mTab]]</f>
        <v>-1.0294949924002159</v>
      </c>
      <c r="S38">
        <f>Tabella18[[#This Row],[m1]]+10</f>
        <v>8.9705050075997832</v>
      </c>
      <c r="T38">
        <f>Tabella18[[#This Row],[m1]]-10</f>
        <v>-11.029494992400217</v>
      </c>
      <c r="U38">
        <f>Tabella18[[#This Row],[m1]]+20</f>
        <v>18.970505007599783</v>
      </c>
      <c r="V38">
        <f>Tabella18[[#This Row],[m2meno]]-10</f>
        <v>-21.029494992400217</v>
      </c>
      <c r="W38">
        <f>Tabella18[[#This Row],[m1]]+30</f>
        <v>28.970505007599783</v>
      </c>
      <c r="X38">
        <f>Tabella18[[#This Row],[m3meno]]-10</f>
        <v>-31.029494992400217</v>
      </c>
      <c r="AA38">
        <v>2.1</v>
      </c>
      <c r="AB38">
        <v>1.95</v>
      </c>
      <c r="AD38">
        <v>-5.2</v>
      </c>
      <c r="AE38">
        <f>Tabella19[[#This Row],[mTab]]*E9</f>
        <v>-1.6222345334791284</v>
      </c>
      <c r="AF38">
        <f>Tabella19[[#This Row],[m1]]+10</f>
        <v>8.3777654665208718</v>
      </c>
      <c r="AG38">
        <f>Tabella19[[#This Row],[m1]]-10</f>
        <v>-11.622234533479128</v>
      </c>
      <c r="AH38">
        <f>Tabella19[[#This Row],[m2]]+10</f>
        <v>18.37776546652087</v>
      </c>
      <c r="AI38">
        <f>Tabella19[[#This Row],[m2meno]]-10</f>
        <v>-21.62223453347913</v>
      </c>
      <c r="AJ38">
        <f>Tabella19[[#This Row],[m3]]+10</f>
        <v>28.37776546652087</v>
      </c>
      <c r="AK38">
        <f>Tabella19[[#This Row],[m3meno]]-10</f>
        <v>-31.62223453347913</v>
      </c>
      <c r="AN38">
        <v>2.85</v>
      </c>
      <c r="AO38">
        <v>2.5</v>
      </c>
      <c r="AQ38">
        <f>Tabella18[[#This Row],[m1]]+(Tabella19[[#This Row],[m1]]-Tabella18[[#This Row],[m1]])*((Tabella2[r = 1/λ]-1)/(2-1))</f>
        <v>-1.367356530815196</v>
      </c>
      <c r="AR38">
        <f>Tabella18[[#This Row],[m2]]+(Tabella19[[#This Row],[m2]]-Tabella18[[#This Row],[m2]])*((Tabella2[r = 1/λ]-1)/(2-1))</f>
        <v>8.6326434691848029</v>
      </c>
      <c r="AS38">
        <f>Tabella18[[#This Row],[m2meno]]+(Tabella19[[#This Row],[m2meno]]-Tabella18[[#This Row],[m2meno]])*((Tabella2[r = 1/λ]-1)/(2-1))</f>
        <v>-11.367356530815197</v>
      </c>
      <c r="AT38">
        <f>Tabella18[[#This Row],[m3]]+(Tabella19[[#This Row],[m3]]-Tabella18[[#This Row],[m3]])*((Tabella2[r = 1/λ]-1)/(2-1))</f>
        <v>18.632643469184803</v>
      </c>
      <c r="AU38">
        <f>Tabella18[[#This Row],[m3meno]]+(Tabella19[[#This Row],[m3meno]]-Tabella18[[#This Row],[m3meno]])*((Tabella2[r = 1/λ]-1)/(2-1))</f>
        <v>-21.367356530815197</v>
      </c>
      <c r="AV38">
        <f>Tabella18[[#This Row],[m4]]+(Tabella19[[#This Row],[m4]]-Tabella18[[#This Row],[m4]])*((Tabella2[r = 1/λ]-1)/(2-1))</f>
        <v>28.632643469184803</v>
      </c>
      <c r="AW38">
        <f>Tabella18[[#This Row],[m4meno]]+(Tabella19[[#This Row],[m4meno]]-Tabella18[[#This Row],[m4meno]])*((Tabella2[r = 1/λ]-1)/(2-1))</f>
        <v>-31.367356530815197</v>
      </c>
      <c r="AX38">
        <f>Tabella18[[#This Row],[Φ_1]]+(Tabella19[[#This Row],[Φ_1]]-Tabella18[[#This Row],[Φ_1]])*((Tabella2[r = 1/λ]-1)/(2-1))</f>
        <v>0</v>
      </c>
      <c r="AY38">
        <f>Tabella18[[#This Row],[Φ_2]]+(Tabella19[[#This Row],[Φ_2]]-Tabella18[[#This Row],[Φ_2]])*((Tabella2[r = 1/λ]-1)/(2-1))</f>
        <v>0</v>
      </c>
      <c r="AZ38">
        <f>Tabella18[[#This Row],[Φ_3]]+(Tabella19[[#This Row],[Φ_3]]-Tabella18[[#This Row],[Φ_3]])*((Tabella2[r = 1/λ]-1)/(2-1))</f>
        <v>2.5275000000000003</v>
      </c>
      <c r="BA38">
        <f>Tabella18[[#This Row],[Φ_4]]+(Tabella19[[#This Row],[Φ_4]]-Tabella18[[#This Row],[Φ_4]])*((Tabella2[r = 1/λ]-1)/(2-1))</f>
        <v>2.2635000000000001</v>
      </c>
      <c r="BC38">
        <f>Tabella21[[#This Row],[Φ_3]]+(Tabella21[[#This Row],[Φ_4]]-Tabella21[[#This Row],[Φ_3]])*(I9-Tabella21[[#This Row],[m3]])/(Tabella21[[#This Row],[m4]]-Tabella21[[#This Row],[m3]])</f>
        <v>2.234764175157856</v>
      </c>
    </row>
    <row r="39" spans="17:55" x14ac:dyDescent="0.45">
      <c r="Q39">
        <v>-3.3</v>
      </c>
      <c r="R39">
        <f>E10*Tabella18[[#This Row],[mTab]]</f>
        <v>-1.3538283457478966</v>
      </c>
      <c r="S39">
        <f>Tabella18[[#This Row],[m1]]+10</f>
        <v>8.6461716542521039</v>
      </c>
      <c r="T39">
        <f>Tabella18[[#This Row],[m1]]-10</f>
        <v>-11.353828345747896</v>
      </c>
      <c r="U39">
        <f>Tabella18[[#This Row],[m1]]+20</f>
        <v>18.646171654252104</v>
      </c>
      <c r="V39">
        <f>Tabella18[[#This Row],[m2meno]]-10</f>
        <v>-21.353828345747896</v>
      </c>
      <c r="W39">
        <f>Tabella18[[#This Row],[m1]]+30</f>
        <v>28.646171654252104</v>
      </c>
      <c r="X39">
        <f>Tabella18[[#This Row],[m3meno]]-10</f>
        <v>-31.353828345747896</v>
      </c>
      <c r="AA39">
        <v>2.1</v>
      </c>
      <c r="AB39">
        <v>1.95</v>
      </c>
      <c r="AD39">
        <v>-5.2</v>
      </c>
      <c r="AE39">
        <f>Tabella19[[#This Row],[mTab]]*E10</f>
        <v>-2.1333052720875947</v>
      </c>
      <c r="AF39">
        <f>Tabella19[[#This Row],[m1]]+10</f>
        <v>7.8666947279124049</v>
      </c>
      <c r="AG39">
        <f>Tabella19[[#This Row],[m1]]-10</f>
        <v>-12.133305272087595</v>
      </c>
      <c r="AH39">
        <f>Tabella19[[#This Row],[m2]]+10</f>
        <v>17.866694727912403</v>
      </c>
      <c r="AI39">
        <f>Tabella19[[#This Row],[m2meno]]-10</f>
        <v>-22.133305272087597</v>
      </c>
      <c r="AJ39">
        <f>Tabella19[[#This Row],[m3]]+10</f>
        <v>27.866694727912403</v>
      </c>
      <c r="AK39">
        <f>Tabella19[[#This Row],[m3meno]]-10</f>
        <v>-32.133305272087597</v>
      </c>
      <c r="AN39">
        <v>2.85</v>
      </c>
      <c r="AO39">
        <v>2.5</v>
      </c>
      <c r="AQ39">
        <f>Tabella18[[#This Row],[m1]]+(Tabella19[[#This Row],[m1]]-Tabella18[[#This Row],[m1]])*((Tabella2[r = 1/λ]-1)/(2-1))</f>
        <v>-1.7981301937615246</v>
      </c>
      <c r="AR39">
        <f>Tabella18[[#This Row],[m2]]+(Tabella19[[#This Row],[m2]]-Tabella18[[#This Row],[m2]])*((Tabella2[r = 1/λ]-1)/(2-1))</f>
        <v>8.2018698062384754</v>
      </c>
      <c r="AS39">
        <f>Tabella18[[#This Row],[m2meno]]+(Tabella19[[#This Row],[m2meno]]-Tabella18[[#This Row],[m2meno]])*((Tabella2[r = 1/λ]-1)/(2-1))</f>
        <v>-11.798130193761525</v>
      </c>
      <c r="AT39">
        <f>Tabella18[[#This Row],[m3]]+(Tabella19[[#This Row],[m3]]-Tabella18[[#This Row],[m3]])*((Tabella2[r = 1/λ]-1)/(2-1))</f>
        <v>18.201869806238474</v>
      </c>
      <c r="AU39">
        <f>Tabella18[[#This Row],[m3meno]]+(Tabella19[[#This Row],[m3meno]]-Tabella18[[#This Row],[m3meno]])*((Tabella2[r = 1/λ]-1)/(2-1))</f>
        <v>-21.798130193761526</v>
      </c>
      <c r="AV39">
        <f>Tabella18[[#This Row],[m4]]+(Tabella19[[#This Row],[m4]]-Tabella18[[#This Row],[m4]])*((Tabella2[r = 1/λ]-1)/(2-1))</f>
        <v>28.201869806238474</v>
      </c>
      <c r="AW39">
        <f>Tabella18[[#This Row],[m4meno]]+(Tabella19[[#This Row],[m4meno]]-Tabella18[[#This Row],[m4meno]])*((Tabella2[r = 1/λ]-1)/(2-1))</f>
        <v>-31.798130193761526</v>
      </c>
      <c r="AX39">
        <f>Tabella18[[#This Row],[Φ_1]]+(Tabella19[[#This Row],[Φ_1]]-Tabella18[[#This Row],[Φ_1]])*((Tabella2[r = 1/λ]-1)/(2-1))</f>
        <v>0</v>
      </c>
      <c r="AY39">
        <f>Tabella18[[#This Row],[Φ_2]]+(Tabella19[[#This Row],[Φ_2]]-Tabella18[[#This Row],[Φ_2]])*((Tabella2[r = 1/λ]-1)/(2-1))</f>
        <v>0</v>
      </c>
      <c r="AZ39">
        <f>Tabella18[[#This Row],[Φ_3]]+(Tabella19[[#This Row],[Φ_3]]-Tabella18[[#This Row],[Φ_3]])*((Tabella2[r = 1/λ]-1)/(2-1))</f>
        <v>2.5275000000000003</v>
      </c>
      <c r="BA39">
        <f>Tabella18[[#This Row],[Φ_4]]+(Tabella19[[#This Row],[Φ_4]]-Tabella18[[#This Row],[Φ_4]])*((Tabella2[r = 1/λ]-1)/(2-1))</f>
        <v>2.2635000000000001</v>
      </c>
      <c r="BC39">
        <f>Tabella21[[#This Row],[Φ_3]]+(Tabella21[[#This Row],[Φ_4]]-Tabella21[[#This Row],[Φ_3]])*(I10-Tabella21[[#This Row],[m3]])/(Tabella21[[#This Row],[m4]]-Tabella21[[#This Row],[m3]])</f>
        <v>2.2640002761124314</v>
      </c>
    </row>
    <row r="40" spans="17:55" x14ac:dyDescent="0.45">
      <c r="Q40">
        <v>-3.3</v>
      </c>
      <c r="R40">
        <f>E11*Tabella18[[#This Row],[mTab]]</f>
        <v>-1.6781616990955803</v>
      </c>
      <c r="S40">
        <f>Tabella18[[#This Row],[m1]]+10</f>
        <v>8.3218383009044192</v>
      </c>
      <c r="T40">
        <f>Tabella18[[#This Row],[m1]]-10</f>
        <v>-11.678161699095581</v>
      </c>
      <c r="U40">
        <f>Tabella18[[#This Row],[m1]]+20</f>
        <v>18.321838300904421</v>
      </c>
      <c r="V40">
        <f>Tabella18[[#This Row],[m2meno]]-10</f>
        <v>-21.678161699095583</v>
      </c>
      <c r="W40">
        <f>Tabella18[[#This Row],[m1]]+30</f>
        <v>28.321838300904421</v>
      </c>
      <c r="X40">
        <f>Tabella18[[#This Row],[m3meno]]-10</f>
        <v>-31.678161699095583</v>
      </c>
      <c r="AA40">
        <v>2.1</v>
      </c>
      <c r="AB40">
        <v>1.95</v>
      </c>
      <c r="AD40">
        <v>-5.2</v>
      </c>
      <c r="AE40">
        <f>Tabella19[[#This Row],[mTab]]*E11</f>
        <v>-2.6443760106960661</v>
      </c>
      <c r="AF40">
        <f>Tabella19[[#This Row],[m1]]+10</f>
        <v>7.3556239893039344</v>
      </c>
      <c r="AG40">
        <f>Tabella19[[#This Row],[m1]]-10</f>
        <v>-12.644376010696066</v>
      </c>
      <c r="AH40">
        <f>Tabella19[[#This Row],[m2]]+10</f>
        <v>17.355623989303936</v>
      </c>
      <c r="AI40">
        <f>Tabella19[[#This Row],[m2meno]]-10</f>
        <v>-22.644376010696064</v>
      </c>
      <c r="AJ40">
        <f>Tabella19[[#This Row],[m3]]+10</f>
        <v>27.355623989303936</v>
      </c>
      <c r="AK40">
        <f>Tabella19[[#This Row],[m3meno]]-10</f>
        <v>-32.644376010696064</v>
      </c>
      <c r="AN40">
        <v>2.85</v>
      </c>
      <c r="AO40">
        <v>2.5</v>
      </c>
      <c r="AQ40">
        <f>Tabella18[[#This Row],[m1]]+(Tabella19[[#This Row],[m1]]-Tabella18[[#This Row],[m1]])*((Tabella2[r = 1/λ]-1)/(2-1))</f>
        <v>-2.2289038567078574</v>
      </c>
      <c r="AR40">
        <f>Tabella18[[#This Row],[m2]]+(Tabella19[[#This Row],[m2]]-Tabella18[[#This Row],[m2]])*((Tabella2[r = 1/λ]-1)/(2-1))</f>
        <v>7.7710961432921426</v>
      </c>
      <c r="AS40">
        <f>Tabella18[[#This Row],[m2meno]]+(Tabella19[[#This Row],[m2meno]]-Tabella18[[#This Row],[m2meno]])*((Tabella2[r = 1/λ]-1)/(2-1))</f>
        <v>-12.228903856707857</v>
      </c>
      <c r="AT40">
        <f>Tabella18[[#This Row],[m3]]+(Tabella19[[#This Row],[m3]]-Tabella18[[#This Row],[m3]])*((Tabella2[r = 1/λ]-1)/(2-1))</f>
        <v>17.771096143292144</v>
      </c>
      <c r="AU40">
        <f>Tabella18[[#This Row],[m3meno]]+(Tabella19[[#This Row],[m3meno]]-Tabella18[[#This Row],[m3meno]])*((Tabella2[r = 1/λ]-1)/(2-1))</f>
        <v>-22.228903856707856</v>
      </c>
      <c r="AV40">
        <f>Tabella18[[#This Row],[m4]]+(Tabella19[[#This Row],[m4]]-Tabella18[[#This Row],[m4]])*((Tabella2[r = 1/λ]-1)/(2-1))</f>
        <v>27.771096143292144</v>
      </c>
      <c r="AW40">
        <f>Tabella18[[#This Row],[m4meno]]+(Tabella19[[#This Row],[m4meno]]-Tabella18[[#This Row],[m4meno]])*((Tabella2[r = 1/λ]-1)/(2-1))</f>
        <v>-32.228903856707859</v>
      </c>
      <c r="AX40">
        <f>Tabella18[[#This Row],[Φ_1]]+(Tabella19[[#This Row],[Φ_1]]-Tabella18[[#This Row],[Φ_1]])*((Tabella2[r = 1/λ]-1)/(2-1))</f>
        <v>0</v>
      </c>
      <c r="AY40">
        <f>Tabella18[[#This Row],[Φ_2]]+(Tabella19[[#This Row],[Φ_2]]-Tabella18[[#This Row],[Φ_2]])*((Tabella2[r = 1/λ]-1)/(2-1))</f>
        <v>0</v>
      </c>
      <c r="AZ40">
        <f>Tabella18[[#This Row],[Φ_3]]+(Tabella19[[#This Row],[Φ_3]]-Tabella18[[#This Row],[Φ_3]])*((Tabella2[r = 1/λ]-1)/(2-1))</f>
        <v>2.5275000000000003</v>
      </c>
      <c r="BA40">
        <f>Tabella18[[#This Row],[Φ_4]]+(Tabella19[[#This Row],[Φ_4]]-Tabella18[[#This Row],[Φ_4]])*((Tabella2[r = 1/λ]-1)/(2-1))</f>
        <v>2.2635000000000001</v>
      </c>
      <c r="BC40">
        <f>Tabella21[[#This Row],[Φ_3]]+(Tabella21[[#This Row],[Φ_4]]-Tabella21[[#This Row],[Φ_3]])*(I11-Tabella21[[#This Row],[m3]])/(Tabella21[[#This Row],[m4]]-Tabella21[[#This Row],[m3]])</f>
        <v>2.2934629821499355</v>
      </c>
    </row>
    <row r="41" spans="17:55" x14ac:dyDescent="0.45">
      <c r="Q41">
        <v>-3.3</v>
      </c>
      <c r="R41">
        <f>E12*Tabella18[[#This Row],[mTab]]</f>
        <v>-2.0024950524432579</v>
      </c>
      <c r="S41">
        <f>Tabella18[[#This Row],[m1]]+10</f>
        <v>7.9975049475567417</v>
      </c>
      <c r="T41">
        <f>Tabella18[[#This Row],[m1]]-10</f>
        <v>-12.002495052443258</v>
      </c>
      <c r="U41">
        <f>Tabella18[[#This Row],[m1]]+20</f>
        <v>17.997504947556742</v>
      </c>
      <c r="V41">
        <f>Tabella18[[#This Row],[m2meno]]-10</f>
        <v>-22.002495052443258</v>
      </c>
      <c r="W41">
        <f>Tabella18[[#This Row],[m1]]+30</f>
        <v>27.997504947556742</v>
      </c>
      <c r="X41">
        <f>Tabella18[[#This Row],[m3meno]]-10</f>
        <v>-32.002495052443258</v>
      </c>
      <c r="AA41">
        <v>2.1</v>
      </c>
      <c r="AB41">
        <v>1.95</v>
      </c>
      <c r="AD41">
        <v>-5.2</v>
      </c>
      <c r="AE41">
        <f>Tabella19[[#This Row],[mTab]]*E12</f>
        <v>-3.1554467493045277</v>
      </c>
      <c r="AF41">
        <f>Tabella19[[#This Row],[m1]]+10</f>
        <v>6.8445532506954727</v>
      </c>
      <c r="AG41">
        <f>Tabella19[[#This Row],[m1]]-10</f>
        <v>-13.155446749304527</v>
      </c>
      <c r="AH41">
        <f>Tabella19[[#This Row],[m2]]+10</f>
        <v>16.844553250695473</v>
      </c>
      <c r="AI41">
        <f>Tabella19[[#This Row],[m2meno]]-10</f>
        <v>-23.155446749304527</v>
      </c>
      <c r="AJ41">
        <f>Tabella19[[#This Row],[m3]]+10</f>
        <v>26.844553250695473</v>
      </c>
      <c r="AK41">
        <f>Tabella19[[#This Row],[m3meno]]-10</f>
        <v>-33.155446749304531</v>
      </c>
      <c r="AN41">
        <v>2.85</v>
      </c>
      <c r="AO41">
        <v>2.5</v>
      </c>
      <c r="AQ41">
        <f>Tabella18[[#This Row],[m1]]+(Tabella19[[#This Row],[m1]]-Tabella18[[#This Row],[m1]])*((Tabella2[r = 1/λ]-1)/(2-1))</f>
        <v>-2.6596775196541818</v>
      </c>
      <c r="AR41">
        <f>Tabella18[[#This Row],[m2]]+(Tabella19[[#This Row],[m2]]-Tabella18[[#This Row],[m2]])*((Tabella2[r = 1/λ]-1)/(2-1))</f>
        <v>7.3403224803458187</v>
      </c>
      <c r="AS41">
        <f>Tabella18[[#This Row],[m2meno]]+(Tabella19[[#This Row],[m2meno]]-Tabella18[[#This Row],[m2meno]])*((Tabella2[r = 1/λ]-1)/(2-1))</f>
        <v>-12.659677519654181</v>
      </c>
      <c r="AT41">
        <f>Tabella18[[#This Row],[m3]]+(Tabella19[[#This Row],[m3]]-Tabella18[[#This Row],[m3]])*((Tabella2[r = 1/λ]-1)/(2-1))</f>
        <v>17.340322480345819</v>
      </c>
      <c r="AU41">
        <f>Tabella18[[#This Row],[m3meno]]+(Tabella19[[#This Row],[m3meno]]-Tabella18[[#This Row],[m3meno]])*((Tabella2[r = 1/λ]-1)/(2-1))</f>
        <v>-22.659677519654181</v>
      </c>
      <c r="AV41">
        <f>Tabella18[[#This Row],[m4]]+(Tabella19[[#This Row],[m4]]-Tabella18[[#This Row],[m4]])*((Tabella2[r = 1/λ]-1)/(2-1))</f>
        <v>27.340322480345819</v>
      </c>
      <c r="AW41">
        <f>Tabella18[[#This Row],[m4meno]]+(Tabella19[[#This Row],[m4meno]]-Tabella18[[#This Row],[m4meno]])*((Tabella2[r = 1/λ]-1)/(2-1))</f>
        <v>-32.659677519654181</v>
      </c>
      <c r="AX41">
        <f>Tabella18[[#This Row],[Φ_1]]+(Tabella19[[#This Row],[Φ_1]]-Tabella18[[#This Row],[Φ_1]])*((Tabella2[r = 1/λ]-1)/(2-1))</f>
        <v>0</v>
      </c>
      <c r="AY41">
        <f>Tabella18[[#This Row],[Φ_2]]+(Tabella19[[#This Row],[Φ_2]]-Tabella18[[#This Row],[Φ_2]])*((Tabella2[r = 1/λ]-1)/(2-1))</f>
        <v>0</v>
      </c>
      <c r="AZ41">
        <f>Tabella18[[#This Row],[Φ_3]]+(Tabella19[[#This Row],[Φ_3]]-Tabella18[[#This Row],[Φ_3]])*((Tabella2[r = 1/λ]-1)/(2-1))</f>
        <v>2.5275000000000003</v>
      </c>
      <c r="BA41">
        <f>Tabella18[[#This Row],[Φ_4]]+(Tabella19[[#This Row],[Φ_4]]-Tabella18[[#This Row],[Φ_4]])*((Tabella2[r = 1/λ]-1)/(2-1))</f>
        <v>2.2635000000000001</v>
      </c>
      <c r="BC41">
        <f>Tabella21[[#This Row],[Φ_3]]+(Tabella21[[#This Row],[Φ_4]]-Tabella21[[#This Row],[Φ_3]])*(I12-Tabella21[[#This Row],[m3]])/(Tabella21[[#This Row],[m4]]-Tabella21[[#This Row],[m3]])</f>
        <v>2.3231398563262315</v>
      </c>
    </row>
    <row r="42" spans="17:55" x14ac:dyDescent="0.45">
      <c r="Q42">
        <v>-3.3</v>
      </c>
      <c r="R42">
        <f>E13*Tabella18[[#This Row],[mTab]]</f>
        <v>-2.3268284057908262</v>
      </c>
      <c r="S42">
        <f>Tabella18[[#This Row],[m1]]+10</f>
        <v>7.6731715942091743</v>
      </c>
      <c r="T42">
        <f>Tabella18[[#This Row],[m1]]-10</f>
        <v>-12.326828405790826</v>
      </c>
      <c r="U42">
        <f>Tabella18[[#This Row],[m1]]+20</f>
        <v>17.673171594209172</v>
      </c>
      <c r="V42">
        <f>Tabella18[[#This Row],[m2meno]]-10</f>
        <v>-22.326828405790828</v>
      </c>
      <c r="W42">
        <f>Tabella18[[#This Row],[m1]]+30</f>
        <v>27.673171594209172</v>
      </c>
      <c r="X42">
        <f>Tabella18[[#This Row],[m3meno]]-10</f>
        <v>-32.326828405790828</v>
      </c>
      <c r="AA42">
        <v>2.1</v>
      </c>
      <c r="AB42">
        <v>1.95</v>
      </c>
      <c r="AD42">
        <v>-5.2</v>
      </c>
      <c r="AE42">
        <f>Tabella19[[#This Row],[mTab]]*E13</f>
        <v>-3.6665174879128175</v>
      </c>
      <c r="AF42">
        <f>Tabella19[[#This Row],[m1]]+10</f>
        <v>6.3334825120871825</v>
      </c>
      <c r="AG42">
        <f>Tabella19[[#This Row],[m1]]-10</f>
        <v>-13.666517487912817</v>
      </c>
      <c r="AH42">
        <f>Tabella19[[#This Row],[m2]]+10</f>
        <v>16.333482512087183</v>
      </c>
      <c r="AI42">
        <f>Tabella19[[#This Row],[m2meno]]-10</f>
        <v>-23.666517487912817</v>
      </c>
      <c r="AJ42">
        <f>Tabella19[[#This Row],[m3]]+10</f>
        <v>26.333482512087183</v>
      </c>
      <c r="AK42">
        <f>Tabella19[[#This Row],[m3meno]]-10</f>
        <v>-33.666517487912813</v>
      </c>
      <c r="AN42">
        <v>2.85</v>
      </c>
      <c r="AO42">
        <v>2.5</v>
      </c>
      <c r="AQ42">
        <f>Tabella18[[#This Row],[m1]]+(Tabella19[[#This Row],[m1]]-Tabella18[[#This Row],[m1]])*((Tabella2[r = 1/λ]-1)/(2-1))</f>
        <v>-3.0904511826003613</v>
      </c>
      <c r="AR42">
        <f>Tabella18[[#This Row],[m2]]+(Tabella19[[#This Row],[m2]]-Tabella18[[#This Row],[m2]])*((Tabella2[r = 1/λ]-1)/(2-1))</f>
        <v>6.9095488173996387</v>
      </c>
      <c r="AS42">
        <f>Tabella18[[#This Row],[m2meno]]+(Tabella19[[#This Row],[m2meno]]-Tabella18[[#This Row],[m2meno]])*((Tabella2[r = 1/λ]-1)/(2-1))</f>
        <v>-13.090451182600361</v>
      </c>
      <c r="AT42">
        <f>Tabella18[[#This Row],[m3]]+(Tabella19[[#This Row],[m3]]-Tabella18[[#This Row],[m3]])*((Tabella2[r = 1/λ]-1)/(2-1))</f>
        <v>16.909548817399639</v>
      </c>
      <c r="AU42">
        <f>Tabella18[[#This Row],[m3meno]]+(Tabella19[[#This Row],[m3meno]]-Tabella18[[#This Row],[m3meno]])*((Tabella2[r = 1/λ]-1)/(2-1))</f>
        <v>-23.090451182600361</v>
      </c>
      <c r="AV42">
        <f>Tabella18[[#This Row],[m4]]+(Tabella19[[#This Row],[m4]]-Tabella18[[#This Row],[m4]])*((Tabella2[r = 1/λ]-1)/(2-1))</f>
        <v>26.909548817399639</v>
      </c>
      <c r="AW42">
        <f>Tabella18[[#This Row],[m4meno]]+(Tabella19[[#This Row],[m4meno]]-Tabella18[[#This Row],[m4meno]])*((Tabella2[r = 1/λ]-1)/(2-1))</f>
        <v>-33.090451182600361</v>
      </c>
      <c r="AX42">
        <f>Tabella18[[#This Row],[Φ_1]]+(Tabella19[[#This Row],[Φ_1]]-Tabella18[[#This Row],[Φ_1]])*((Tabella2[r = 1/λ]-1)/(2-1))</f>
        <v>0</v>
      </c>
      <c r="AY42">
        <f>Tabella18[[#This Row],[Φ_2]]+(Tabella19[[#This Row],[Φ_2]]-Tabella18[[#This Row],[Φ_2]])*((Tabella2[r = 1/λ]-1)/(2-1))</f>
        <v>0</v>
      </c>
      <c r="AZ42">
        <f>Tabella18[[#This Row],[Φ_3]]+(Tabella19[[#This Row],[Φ_3]]-Tabella18[[#This Row],[Φ_3]])*((Tabella2[r = 1/λ]-1)/(2-1))</f>
        <v>2.5275000000000003</v>
      </c>
      <c r="BA42">
        <f>Tabella18[[#This Row],[Φ_4]]+(Tabella19[[#This Row],[Φ_4]]-Tabella18[[#This Row],[Φ_4]])*((Tabella2[r = 1/λ]-1)/(2-1))</f>
        <v>2.2635000000000001</v>
      </c>
      <c r="BC42">
        <f>Tabella21[[#This Row],[Φ_3]]+(Tabella21[[#This Row],[Φ_4]]-Tabella21[[#This Row],[Φ_3]])*(I13-Tabella21[[#This Row],[m3]])/(Tabella21[[#This Row],[m4]]-Tabella21[[#This Row],[m3]])</f>
        <v>2.3530183964691087</v>
      </c>
    </row>
    <row r="43" spans="17:55" x14ac:dyDescent="0.45">
      <c r="Q43">
        <v>-3.3</v>
      </c>
      <c r="R43">
        <f>E14*Tabella18[[#This Row],[mTab]]</f>
        <v>-2.6511617591200793</v>
      </c>
      <c r="S43">
        <f>Tabella18[[#This Row],[m1]]+10</f>
        <v>7.3488382408799211</v>
      </c>
      <c r="T43">
        <f>Tabella18[[#This Row],[m1]]-10</f>
        <v>-12.651161759120079</v>
      </c>
      <c r="U43">
        <f>Tabella18[[#This Row],[m1]]+20</f>
        <v>17.348838240879921</v>
      </c>
      <c r="V43">
        <f>Tabella18[[#This Row],[m2meno]]-10</f>
        <v>-22.651161759120079</v>
      </c>
      <c r="W43">
        <f>Tabella18[[#This Row],[m1]]+30</f>
        <v>27.348838240879921</v>
      </c>
      <c r="X43">
        <f>Tabella18[[#This Row],[m3meno]]-10</f>
        <v>-32.651161759120079</v>
      </c>
      <c r="Z43">
        <v>2.2000000000000002</v>
      </c>
      <c r="AA43">
        <v>2.1</v>
      </c>
      <c r="AB43">
        <v>1.95</v>
      </c>
      <c r="AD43">
        <v>-5.2</v>
      </c>
      <c r="AE43">
        <f>Tabella19[[#This Row],[mTab]]*E14</f>
        <v>-4.1775882264922473</v>
      </c>
      <c r="AF43">
        <f>Tabella19[[#This Row],[m1]]+10</f>
        <v>5.8224117735077527</v>
      </c>
      <c r="AG43">
        <f>Tabella19[[#This Row],[m1]]-10</f>
        <v>-14.177588226492247</v>
      </c>
      <c r="AH43">
        <f>Tabella19[[#This Row],[m2]]+10</f>
        <v>15.822411773507753</v>
      </c>
      <c r="AI43">
        <f>Tabella19[[#This Row],[m2meno]]-10</f>
        <v>-24.177588226492247</v>
      </c>
      <c r="AJ43">
        <f>Tabella19[[#This Row],[m3]]+10</f>
        <v>25.822411773507753</v>
      </c>
      <c r="AK43">
        <f>Tabella19[[#This Row],[m3meno]]-10</f>
        <v>-34.177588226492247</v>
      </c>
      <c r="AN43">
        <v>2.85</v>
      </c>
      <c r="AO43">
        <v>2.5</v>
      </c>
      <c r="AQ43">
        <f>Tabella18[[#This Row],[m1]]+(Tabella19[[#This Row],[m1]]-Tabella18[[#This Row],[m1]])*((Tabella2[r = 1/λ]-1)/(2-1))</f>
        <v>-3.521224845522215</v>
      </c>
      <c r="AR43">
        <f>Tabella18[[#This Row],[m2]]+(Tabella19[[#This Row],[m2]]-Tabella18[[#This Row],[m2]])*((Tabella2[r = 1/λ]-1)/(2-1))</f>
        <v>6.478775154477785</v>
      </c>
      <c r="AS43">
        <f>Tabella18[[#This Row],[m2meno]]+(Tabella19[[#This Row],[m2meno]]-Tabella18[[#This Row],[m2meno]])*((Tabella2[r = 1/λ]-1)/(2-1))</f>
        <v>-13.521224845522214</v>
      </c>
      <c r="AT43">
        <f>Tabella18[[#This Row],[m3]]+(Tabella19[[#This Row],[m3]]-Tabella18[[#This Row],[m3]])*((Tabella2[r = 1/λ]-1)/(2-1))</f>
        <v>16.478775154477784</v>
      </c>
      <c r="AU43">
        <f>Tabella18[[#This Row],[m3meno]]+(Tabella19[[#This Row],[m3meno]]-Tabella18[[#This Row],[m3meno]])*((Tabella2[r = 1/λ]-1)/(2-1))</f>
        <v>-23.521224845522216</v>
      </c>
      <c r="AV43">
        <f>Tabella18[[#This Row],[m4]]+(Tabella19[[#This Row],[m4]]-Tabella18[[#This Row],[m4]])*((Tabella2[r = 1/λ]-1)/(2-1))</f>
        <v>26.478775154477784</v>
      </c>
      <c r="AW43">
        <f>Tabella18[[#This Row],[m4meno]]+(Tabella19[[#This Row],[m4meno]]-Tabella18[[#This Row],[m4meno]])*((Tabella2[r = 1/λ]-1)/(2-1))</f>
        <v>-33.521224845522212</v>
      </c>
      <c r="AX43">
        <f>Tabella18[[#This Row],[Φ_1]]+(Tabella19[[#This Row],[Φ_1]]-Tabella18[[#This Row],[Φ_1]])*((Tabella2[r = 1/λ]-1)/(2-1))</f>
        <v>0</v>
      </c>
      <c r="AY43">
        <f>Tabella18[[#This Row],[Φ_2]]+(Tabella19[[#This Row],[Φ_2]]-Tabella18[[#This Row],[Φ_2]])*((Tabella2[r = 1/λ]-1)/(2-1))</f>
        <v>0.94599999999999995</v>
      </c>
      <c r="AZ43">
        <f>Tabella18[[#This Row],[Φ_3]]+(Tabella19[[#This Row],[Φ_3]]-Tabella18[[#This Row],[Φ_3]])*((Tabella2[r = 1/λ]-1)/(2-1))</f>
        <v>2.5275000000000003</v>
      </c>
      <c r="BA43">
        <f>Tabella18[[#This Row],[Φ_4]]+(Tabella19[[#This Row],[Φ_4]]-Tabella18[[#This Row],[Φ_4]])*((Tabella2[r = 1/λ]-1)/(2-1))</f>
        <v>2.2635000000000001</v>
      </c>
      <c r="BC43">
        <f>Tabella21[[#This Row],[Φ_3]]+(Tabella21[[#This Row],[Φ_4]]-Tabella21[[#This Row],[Φ_3]])*(I14-Tabella21[[#This Row],[m3]])/(Tabella21[[#This Row],[m4]]-Tabella21[[#This Row],[m3]])</f>
        <v>2.3830860389866304</v>
      </c>
    </row>
    <row r="44" spans="17:55" x14ac:dyDescent="0.45">
      <c r="Q44">
        <v>-3.3</v>
      </c>
      <c r="R44">
        <f>E15*Tabella18[[#This Row],[mTab]]</f>
        <v>-2.9754951096266811</v>
      </c>
      <c r="S44">
        <f>Tabella18[[#This Row],[m1]]+10</f>
        <v>7.0245048903733185</v>
      </c>
      <c r="T44">
        <f>Tabella18[[#This Row],[m1]]-10</f>
        <v>-12.975495109626682</v>
      </c>
      <c r="U44">
        <f>Tabella18[[#This Row],[m1]]+20</f>
        <v>17.024504890373318</v>
      </c>
      <c r="V44">
        <f>Tabella18[[#This Row],[m2meno]]-10</f>
        <v>-22.975495109626682</v>
      </c>
      <c r="W44">
        <f>Tabella18[[#This Row],[m1]]+30</f>
        <v>27.024504890373318</v>
      </c>
      <c r="X44">
        <f>Tabella18[[#This Row],[m3meno]]-10</f>
        <v>-32.975495109626678</v>
      </c>
      <c r="Z44">
        <v>2.2000000000000002</v>
      </c>
      <c r="AA44">
        <v>2.1</v>
      </c>
      <c r="AB44">
        <v>1.95</v>
      </c>
      <c r="AD44">
        <v>-5.2</v>
      </c>
      <c r="AE44">
        <f>Tabella19[[#This Row],[mTab]]*E15</f>
        <v>-4.6886589606238616</v>
      </c>
      <c r="AF44">
        <f>Tabella19[[#This Row],[m1]]+10</f>
        <v>5.3113410393761384</v>
      </c>
      <c r="AG44">
        <f>Tabella19[[#This Row],[m1]]-10</f>
        <v>-14.688658960623862</v>
      </c>
      <c r="AH44">
        <f>Tabella19[[#This Row],[m2]]+10</f>
        <v>15.311341039376138</v>
      </c>
      <c r="AI44">
        <f>Tabella19[[#This Row],[m2meno]]-10</f>
        <v>-24.688658960623862</v>
      </c>
      <c r="AJ44">
        <f>Tabella19[[#This Row],[m3]]+10</f>
        <v>25.311341039376138</v>
      </c>
      <c r="AK44">
        <f>Tabella19[[#This Row],[m3meno]]-10</f>
        <v>-34.688658960623862</v>
      </c>
      <c r="AN44">
        <v>2.85</v>
      </c>
      <c r="AO44">
        <v>2.5</v>
      </c>
      <c r="AQ44">
        <f>Tabella18[[#This Row],[m1]]+(Tabella19[[#This Row],[m1]]-Tabella18[[#This Row],[m1]])*((Tabella2[r = 1/λ]-1)/(2-1))</f>
        <v>-3.9519985046950739</v>
      </c>
      <c r="AR44">
        <f>Tabella18[[#This Row],[m2]]+(Tabella19[[#This Row],[m2]]-Tabella18[[#This Row],[m2]])*((Tabella2[r = 1/λ]-1)/(2-1))</f>
        <v>6.0480014953049253</v>
      </c>
      <c r="AS44">
        <f>Tabella18[[#This Row],[m2meno]]+(Tabella19[[#This Row],[m2meno]]-Tabella18[[#This Row],[m2meno]])*((Tabella2[r = 1/λ]-1)/(2-1))</f>
        <v>-13.951998504695075</v>
      </c>
      <c r="AT44">
        <f>Tabella18[[#This Row],[m3]]+(Tabella19[[#This Row],[m3]]-Tabella18[[#This Row],[m3]])*((Tabella2[r = 1/λ]-1)/(2-1))</f>
        <v>16.048001495304927</v>
      </c>
      <c r="AU44">
        <f>Tabella18[[#This Row],[m3meno]]+(Tabella19[[#This Row],[m3meno]]-Tabella18[[#This Row],[m3meno]])*((Tabella2[r = 1/λ]-1)/(2-1))</f>
        <v>-23.951998504695073</v>
      </c>
      <c r="AV44">
        <f>Tabella18[[#This Row],[m4]]+(Tabella19[[#This Row],[m4]]-Tabella18[[#This Row],[m4]])*((Tabella2[r = 1/λ]-1)/(2-1))</f>
        <v>26.048001495304927</v>
      </c>
      <c r="AW44">
        <f>Tabella18[[#This Row],[m4meno]]+(Tabella19[[#This Row],[m4meno]]-Tabella18[[#This Row],[m4meno]])*((Tabella2[r = 1/λ]-1)/(2-1))</f>
        <v>-33.951998504695069</v>
      </c>
      <c r="AX44">
        <f>Tabella18[[#This Row],[Φ_1]]+(Tabella19[[#This Row],[Φ_1]]-Tabella18[[#This Row],[Φ_1]])*((Tabella2[r = 1/λ]-1)/(2-1))</f>
        <v>0</v>
      </c>
      <c r="AY44">
        <f>Tabella18[[#This Row],[Φ_2]]+(Tabella19[[#This Row],[Φ_2]]-Tabella18[[#This Row],[Φ_2]])*((Tabella2[r = 1/λ]-1)/(2-1))</f>
        <v>0.94599999999999995</v>
      </c>
      <c r="AZ44">
        <f>Tabella18[[#This Row],[Φ_3]]+(Tabella19[[#This Row],[Φ_3]]-Tabella18[[#This Row],[Φ_3]])*((Tabella2[r = 1/λ]-1)/(2-1))</f>
        <v>2.5275000000000003</v>
      </c>
      <c r="BA44">
        <f>Tabella18[[#This Row],[Φ_4]]+(Tabella19[[#This Row],[Φ_4]]-Tabella18[[#This Row],[Φ_4]])*((Tabella2[r = 1/λ]-1)/(2-1))</f>
        <v>2.2635000000000001</v>
      </c>
      <c r="BC44">
        <f>Tabella21[[#This Row],[Φ_3]]+(Tabella21[[#This Row],[Φ_4]]-Tabella21[[#This Row],[Φ_3]])*(I15-Tabella21[[#This Row],[m3]])/(Tabella21[[#This Row],[m4]]-Tabella21[[#This Row],[m3]])</f>
        <v>2.4133301627906243</v>
      </c>
    </row>
    <row r="45" spans="17:55" x14ac:dyDescent="0.45">
      <c r="Q45">
        <v>-3.3</v>
      </c>
      <c r="R45">
        <f>E16*Tabella18[[#This Row],[mTab]]</f>
        <v>-3.2998280542211358</v>
      </c>
      <c r="S45">
        <f>Tabella18[[#This Row],[m1]]+10</f>
        <v>6.7001719457788642</v>
      </c>
      <c r="T45">
        <f>Tabella18[[#This Row],[m1]]-10</f>
        <v>-13.299828054221136</v>
      </c>
      <c r="U45">
        <f>Tabella18[[#This Row],[m1]]+20</f>
        <v>16.700171945778862</v>
      </c>
      <c r="V45">
        <f>Tabella18[[#This Row],[m2meno]]-10</f>
        <v>-23.299828054221138</v>
      </c>
      <c r="W45">
        <f>Tabella18[[#This Row],[m1]]+30</f>
        <v>26.700171945778862</v>
      </c>
      <c r="X45">
        <f>Tabella18[[#This Row],[m3meno]]-10</f>
        <v>-33.299828054221138</v>
      </c>
      <c r="Z45">
        <v>2.2000000000000002</v>
      </c>
      <c r="AA45">
        <v>2.1</v>
      </c>
      <c r="AB45">
        <v>1.95</v>
      </c>
      <c r="AD45">
        <v>-5.2</v>
      </c>
      <c r="AE45">
        <f>Tabella19[[#This Row],[mTab]]*E16</f>
        <v>-5.1997290551363351</v>
      </c>
      <c r="AF45">
        <f>Tabella19[[#This Row],[m1]]+10</f>
        <v>4.8002709448636649</v>
      </c>
      <c r="AG45">
        <f>Tabella19[[#This Row],[m1]]-10</f>
        <v>-15.199729055136334</v>
      </c>
      <c r="AH45">
        <f>Tabella19[[#This Row],[m2]]+10</f>
        <v>14.800270944863666</v>
      </c>
      <c r="AI45">
        <f>Tabella19[[#This Row],[m2meno]]-10</f>
        <v>-25.199729055136334</v>
      </c>
      <c r="AJ45">
        <f>Tabella19[[#This Row],[m3]]+10</f>
        <v>24.800270944863666</v>
      </c>
      <c r="AK45">
        <f>Tabella19[[#This Row],[m3meno]]-10</f>
        <v>-35.199729055136331</v>
      </c>
      <c r="AM45">
        <v>3.4</v>
      </c>
      <c r="AN45">
        <v>2.85</v>
      </c>
      <c r="AO45">
        <v>2.5</v>
      </c>
      <c r="AQ45">
        <f>Tabella18[[#This Row],[m1]]+(Tabella19[[#This Row],[m1]]-Tabella18[[#This Row],[m1]])*((Tabella2[r = 1/λ]-1)/(2-1))</f>
        <v>-4.3827716247427997</v>
      </c>
      <c r="AR45">
        <f>Tabella18[[#This Row],[m2]]+(Tabella19[[#This Row],[m2]]-Tabella18[[#This Row],[m2]])*((Tabella2[r = 1/λ]-1)/(2-1))</f>
        <v>5.6172283752572003</v>
      </c>
      <c r="AS45">
        <f>Tabella18[[#This Row],[m2meno]]+(Tabella19[[#This Row],[m2meno]]-Tabella18[[#This Row],[m2meno]])*((Tabella2[r = 1/λ]-1)/(2-1))</f>
        <v>-14.3827716247428</v>
      </c>
      <c r="AT45">
        <f>Tabella18[[#This Row],[m3]]+(Tabella19[[#This Row],[m3]]-Tabella18[[#This Row],[m3]])*((Tabella2[r = 1/λ]-1)/(2-1))</f>
        <v>15.6172283752572</v>
      </c>
      <c r="AU45">
        <f>Tabella18[[#This Row],[m3meno]]+(Tabella19[[#This Row],[m3meno]]-Tabella18[[#This Row],[m3meno]])*((Tabella2[r = 1/λ]-1)/(2-1))</f>
        <v>-24.382771624742801</v>
      </c>
      <c r="AV45">
        <f>Tabella18[[#This Row],[m4]]+(Tabella19[[#This Row],[m4]]-Tabella18[[#This Row],[m4]])*((Tabella2[r = 1/λ]-1)/(2-1))</f>
        <v>25.617228375257199</v>
      </c>
      <c r="AW45">
        <f>Tabella18[[#This Row],[m4meno]]+(Tabella19[[#This Row],[m4meno]]-Tabella18[[#This Row],[m4meno]])*((Tabella2[r = 1/λ]-1)/(2-1))</f>
        <v>-34.382771624742794</v>
      </c>
      <c r="AX45">
        <f>Tabella18[[#This Row],[Φ_1]]+(Tabella19[[#This Row],[Φ_1]]-Tabella18[[#This Row],[Φ_1]])*((Tabella2[r = 1/λ]-1)/(2-1))</f>
        <v>0</v>
      </c>
      <c r="AY45">
        <f>Tabella18[[#This Row],[Φ_2]]+(Tabella19[[#This Row],[Φ_2]]-Tabella18[[#This Row],[Φ_2]])*((Tabella2[r = 1/λ]-1)/(2-1))</f>
        <v>2.8840000000000003</v>
      </c>
      <c r="AZ45">
        <f>Tabella18[[#This Row],[Φ_3]]+(Tabella19[[#This Row],[Φ_3]]-Tabella18[[#This Row],[Φ_3]])*((Tabella2[r = 1/λ]-1)/(2-1))</f>
        <v>2.5275000000000003</v>
      </c>
      <c r="BA45">
        <f>Tabella18[[#This Row],[Φ_4]]+(Tabella19[[#This Row],[Φ_4]]-Tabella18[[#This Row],[Φ_4]])*((Tabella2[r = 1/λ]-1)/(2-1))</f>
        <v>2.2635000000000001</v>
      </c>
      <c r="BC45">
        <f>Tabella21[[#This Row],[Φ_3]]+(Tabella21[[#This Row],[Φ_4]]-Tabella21[[#This Row],[Φ_3]])*(I16-Tabella21[[#This Row],[m3]])/(Tabella21[[#This Row],[m4]]-Tabella21[[#This Row],[m3]])</f>
        <v>2.4437381070785555</v>
      </c>
    </row>
    <row r="46" spans="17:55" x14ac:dyDescent="0.45">
      <c r="Q46">
        <v>-3.3</v>
      </c>
      <c r="R46">
        <f>E17*Tabella18[[#This Row],[mTab]]</f>
        <v>-3.6248344210978014</v>
      </c>
      <c r="S46">
        <f>Tabella18[[#This Row],[m1]]+10</f>
        <v>6.3751655789021981</v>
      </c>
      <c r="T46">
        <f>Tabella18[[#This Row],[m1]]-10</f>
        <v>-13.624834421097802</v>
      </c>
      <c r="U46">
        <f>Tabella18[[#This Row],[m1]]+20</f>
        <v>16.375165578902198</v>
      </c>
      <c r="V46">
        <f>Tabella18[[#This Row],[m2meno]]-10</f>
        <v>-23.624834421097802</v>
      </c>
      <c r="W46">
        <f>Tabella18[[#This Row],[m1]]+30</f>
        <v>26.375165578902198</v>
      </c>
      <c r="X46">
        <f>Tabella18[[#This Row],[m3meno]]-10</f>
        <v>-33.624834421097802</v>
      </c>
      <c r="Z46">
        <v>2.2000000000000002</v>
      </c>
      <c r="AA46">
        <v>2.1</v>
      </c>
      <c r="AB46">
        <v>1.95</v>
      </c>
      <c r="AD46">
        <v>-5.2</v>
      </c>
      <c r="AE46">
        <f>Tabella19[[#This Row],[mTab]]*E17</f>
        <v>-5.7118602999116881</v>
      </c>
      <c r="AF46">
        <f>Tabella19[[#This Row],[m1]]+10</f>
        <v>4.2881397000883119</v>
      </c>
      <c r="AG46">
        <f>Tabella19[[#This Row],[m1]]-10</f>
        <v>-15.711860299911688</v>
      </c>
      <c r="AH46">
        <f>Tabella19[[#This Row],[m2]]+10</f>
        <v>14.288139700088312</v>
      </c>
      <c r="AI46">
        <f>Tabella19[[#This Row],[m2meno]]-10</f>
        <v>-25.711860299911688</v>
      </c>
      <c r="AJ46">
        <f>Tabella19[[#This Row],[m3]]+10</f>
        <v>24.288139700088312</v>
      </c>
      <c r="AK46">
        <f>Tabella19[[#This Row],[m3meno]]-10</f>
        <v>-35.711860299911692</v>
      </c>
      <c r="AM46">
        <v>3.4</v>
      </c>
      <c r="AN46">
        <v>2.85</v>
      </c>
      <c r="AO46">
        <v>2.5</v>
      </c>
      <c r="AQ46">
        <f>Tabella18[[#This Row],[m1]]+(Tabella19[[#This Row],[m1]]-Tabella18[[#This Row],[m1]])*((Tabella2[r = 1/λ]-1)/(2-1))</f>
        <v>-4.814439172021717</v>
      </c>
      <c r="AR46">
        <f>Tabella18[[#This Row],[m2]]+(Tabella19[[#This Row],[m2]]-Tabella18[[#This Row],[m2]])*((Tabella2[r = 1/λ]-1)/(2-1))</f>
        <v>5.185560827978283</v>
      </c>
      <c r="AS46">
        <f>Tabella18[[#This Row],[m2meno]]+(Tabella19[[#This Row],[m2meno]]-Tabella18[[#This Row],[m2meno]])*((Tabella2[r = 1/λ]-1)/(2-1))</f>
        <v>-14.814439172021718</v>
      </c>
      <c r="AT46">
        <f>Tabella18[[#This Row],[m3]]+(Tabella19[[#This Row],[m3]]-Tabella18[[#This Row],[m3]])*((Tabella2[r = 1/λ]-1)/(2-1))</f>
        <v>15.185560827978282</v>
      </c>
      <c r="AU46">
        <f>Tabella18[[#This Row],[m3meno]]+(Tabella19[[#This Row],[m3meno]]-Tabella18[[#This Row],[m3meno]])*((Tabella2[r = 1/λ]-1)/(2-1))</f>
        <v>-24.814439172021718</v>
      </c>
      <c r="AV46">
        <f>Tabella18[[#This Row],[m4]]+(Tabella19[[#This Row],[m4]]-Tabella18[[#This Row],[m4]])*((Tabella2[r = 1/λ]-1)/(2-1))</f>
        <v>25.185560827978282</v>
      </c>
      <c r="AW46">
        <f>Tabella18[[#This Row],[m4meno]]+(Tabella19[[#This Row],[m4meno]]-Tabella18[[#This Row],[m4meno]])*((Tabella2[r = 1/λ]-1)/(2-1))</f>
        <v>-34.814439172021721</v>
      </c>
      <c r="AX46">
        <f>Tabella18[[#This Row],[Φ_1]]+(Tabella19[[#This Row],[Φ_1]]-Tabella18[[#This Row],[Φ_1]])*((Tabella2[r = 1/λ]-1)/(2-1))</f>
        <v>0</v>
      </c>
      <c r="AY46">
        <f>Tabella18[[#This Row],[Φ_2]]+(Tabella19[[#This Row],[Φ_2]]-Tabella18[[#This Row],[Φ_2]])*((Tabella2[r = 1/λ]-1)/(2-1))</f>
        <v>2.8840000000000003</v>
      </c>
      <c r="AZ46">
        <f>Tabella18[[#This Row],[Φ_3]]+(Tabella19[[#This Row],[Φ_3]]-Tabella18[[#This Row],[Φ_3]])*((Tabella2[r = 1/λ]-1)/(2-1))</f>
        <v>2.5275000000000003</v>
      </c>
      <c r="BA46">
        <f>Tabella18[[#This Row],[Φ_4]]+(Tabella19[[#This Row],[Φ_4]]-Tabella18[[#This Row],[Φ_4]])*((Tabella2[r = 1/λ]-1)/(2-1))</f>
        <v>2.2635000000000001</v>
      </c>
      <c r="BC46">
        <f>Tabella21[[#This Row],[Φ_3]]+(Tabella21[[#This Row],[Φ_4]]-Tabella21[[#This Row],[Φ_3]])*(I17-Tabella21[[#This Row],[m3]])/(Tabella21[[#This Row],[m4]]-Tabella21[[#This Row],[m3]])</f>
        <v>2.474273519912531</v>
      </c>
    </row>
    <row r="47" spans="17:55" x14ac:dyDescent="0.45">
      <c r="Q47">
        <v>-3.3</v>
      </c>
      <c r="R47">
        <f>E18*Tabella18[[#This Row],[mTab]]</f>
        <v>-3.9528837401228336</v>
      </c>
      <c r="S47">
        <f>Tabella18[[#This Row],[m1]]+10</f>
        <v>6.0471162598771659</v>
      </c>
      <c r="T47">
        <f>Tabella18[[#This Row],[m1]]-10</f>
        <v>-13.952883740122834</v>
      </c>
      <c r="U47">
        <f>Tabella18[[#This Row],[m1]]+20</f>
        <v>16.047116259877168</v>
      </c>
      <c r="V47">
        <f>Tabella18[[#This Row],[m2meno]]-10</f>
        <v>-23.952883740122836</v>
      </c>
      <c r="W47">
        <f>Tabella18[[#This Row],[m1]]+30</f>
        <v>26.047116259877168</v>
      </c>
      <c r="X47">
        <f>Tabella18[[#This Row],[m3meno]]-10</f>
        <v>-33.952883740122836</v>
      </c>
      <c r="Z47">
        <v>2.2000000000000002</v>
      </c>
      <c r="AA47">
        <v>2.1</v>
      </c>
      <c r="AB47">
        <v>1.95</v>
      </c>
      <c r="AD47">
        <v>-5.2</v>
      </c>
      <c r="AE47">
        <f>Tabella19[[#This Row],[mTab]]*E18</f>
        <v>-6.2287864995874962</v>
      </c>
      <c r="AF47">
        <f>Tabella19[[#This Row],[m1]]+10</f>
        <v>3.7712135004125038</v>
      </c>
      <c r="AG47">
        <f>Tabella19[[#This Row],[m1]]-10</f>
        <v>-16.228786499587496</v>
      </c>
      <c r="AH47">
        <f>Tabella19[[#This Row],[m2]]+10</f>
        <v>13.771213500412504</v>
      </c>
      <c r="AI47">
        <f>Tabella19[[#This Row],[m2meno]]-10</f>
        <v>-26.228786499587496</v>
      </c>
      <c r="AJ47">
        <f>Tabella19[[#This Row],[m3]]+10</f>
        <v>23.771213500412504</v>
      </c>
      <c r="AK47">
        <f>Tabella19[[#This Row],[m3meno]]-10</f>
        <v>-36.2287864995875</v>
      </c>
      <c r="AM47">
        <v>3.4</v>
      </c>
      <c r="AN47">
        <v>2.85</v>
      </c>
      <c r="AO47">
        <v>2.5</v>
      </c>
      <c r="AQ47">
        <f>Tabella18[[#This Row],[m1]]+(Tabella19[[#This Row],[m1]]-Tabella18[[#This Row],[m1]])*((Tabella2[r = 1/λ]-1)/(2-1))</f>
        <v>-5.2501483130176911</v>
      </c>
      <c r="AR47">
        <f>Tabella18[[#This Row],[m2]]+(Tabella19[[#This Row],[m2]]-Tabella18[[#This Row],[m2]])*((Tabella2[r = 1/λ]-1)/(2-1))</f>
        <v>4.7498516869823089</v>
      </c>
      <c r="AS47">
        <f>Tabella18[[#This Row],[m2meno]]+(Tabella19[[#This Row],[m2meno]]-Tabella18[[#This Row],[m2meno]])*((Tabella2[r = 1/λ]-1)/(2-1))</f>
        <v>-15.250148313017691</v>
      </c>
      <c r="AT47">
        <f>Tabella18[[#This Row],[m3]]+(Tabella19[[#This Row],[m3]]-Tabella18[[#This Row],[m3]])*((Tabella2[r = 1/λ]-1)/(2-1))</f>
        <v>14.749851686982309</v>
      </c>
      <c r="AU47">
        <f>Tabella18[[#This Row],[m3meno]]+(Tabella19[[#This Row],[m3meno]]-Tabella18[[#This Row],[m3meno]])*((Tabella2[r = 1/λ]-1)/(2-1))</f>
        <v>-25.250148313017693</v>
      </c>
      <c r="AV47">
        <f>Tabella18[[#This Row],[m4]]+(Tabella19[[#This Row],[m4]]-Tabella18[[#This Row],[m4]])*((Tabella2[r = 1/λ]-1)/(2-1))</f>
        <v>24.749851686982311</v>
      </c>
      <c r="AW47">
        <f>Tabella18[[#This Row],[m4meno]]+(Tabella19[[#This Row],[m4meno]]-Tabella18[[#This Row],[m4meno]])*((Tabella2[r = 1/λ]-1)/(2-1))</f>
        <v>-35.250148313017696</v>
      </c>
      <c r="AX47">
        <f>Tabella18[[#This Row],[Φ_1]]+(Tabella19[[#This Row],[Φ_1]]-Tabella18[[#This Row],[Φ_1]])*((Tabella2[r = 1/λ]-1)/(2-1))</f>
        <v>0</v>
      </c>
      <c r="AY47">
        <f>Tabella18[[#This Row],[Φ_2]]+(Tabella19[[#This Row],[Φ_2]]-Tabella18[[#This Row],[Φ_2]])*((Tabella2[r = 1/λ]-1)/(2-1))</f>
        <v>2.8840000000000003</v>
      </c>
      <c r="AZ47">
        <f>Tabella18[[#This Row],[Φ_3]]+(Tabella19[[#This Row],[Φ_3]]-Tabella18[[#This Row],[Φ_3]])*((Tabella2[r = 1/λ]-1)/(2-1))</f>
        <v>2.5275000000000003</v>
      </c>
      <c r="BA47">
        <f>Tabella18[[#This Row],[Φ_4]]+(Tabella19[[#This Row],[Φ_4]]-Tabella18[[#This Row],[Φ_4]])*((Tabella2[r = 1/λ]-1)/(2-1))</f>
        <v>2.2635000000000001</v>
      </c>
      <c r="BC47">
        <f>Tabella21[[#This Row],[Φ_3]]+(Tabella21[[#This Row],[Φ_4]]-Tabella21[[#This Row],[Φ_3]])*(I18-Tabella21[[#This Row],[m3]])/(Tabella21[[#This Row],[m4]]-Tabella21[[#This Row],[m3]])</f>
        <v>2.5048405452571521</v>
      </c>
    </row>
    <row r="48" spans="17:55" x14ac:dyDescent="0.45">
      <c r="Q48">
        <v>-3.3</v>
      </c>
      <c r="R48">
        <f>E19*Tabella18[[#This Row],[mTab]]</f>
        <v>-4.2718507468608173</v>
      </c>
      <c r="S48">
        <f>Tabella18[[#This Row],[m1]]+10</f>
        <v>5.7281492531391827</v>
      </c>
      <c r="T48">
        <f>Tabella18[[#This Row],[m1]]-10</f>
        <v>-14.271850746860817</v>
      </c>
      <c r="U48">
        <f>Tabella18[[#This Row],[m1]]+20</f>
        <v>15.728149253139183</v>
      </c>
      <c r="V48">
        <f>Tabella18[[#This Row],[m2meno]]-10</f>
        <v>-24.271850746860817</v>
      </c>
      <c r="W48">
        <f>Tabella18[[#This Row],[m1]]+30</f>
        <v>25.728149253139183</v>
      </c>
      <c r="X48">
        <f>Tabella18[[#This Row],[m3meno]]-10</f>
        <v>-34.271850746860821</v>
      </c>
      <c r="Z48">
        <v>2.2000000000000002</v>
      </c>
      <c r="AA48">
        <v>2.1</v>
      </c>
      <c r="AB48">
        <v>1.95</v>
      </c>
      <c r="AD48">
        <v>-5.2</v>
      </c>
      <c r="AE48">
        <f>Tabella19[[#This Row],[mTab]]*E19</f>
        <v>-6.731401176871592</v>
      </c>
      <c r="AF48">
        <f>Tabella19[[#This Row],[m1]]+10</f>
        <v>3.268598823128408</v>
      </c>
      <c r="AG48">
        <f>Tabella19[[#This Row],[m1]]-10</f>
        <v>-16.731401176871593</v>
      </c>
      <c r="AH48">
        <f>Tabella19[[#This Row],[m2]]+10</f>
        <v>13.268598823128407</v>
      </c>
      <c r="AI48">
        <f>Tabella19[[#This Row],[m2meno]]-10</f>
        <v>-26.731401176871593</v>
      </c>
      <c r="AJ48">
        <f>Tabella19[[#This Row],[m3]]+10</f>
        <v>23.268598823128407</v>
      </c>
      <c r="AK48">
        <f>Tabella19[[#This Row],[m3meno]]-10</f>
        <v>-36.731401176871593</v>
      </c>
      <c r="AM48">
        <v>3.4</v>
      </c>
      <c r="AN48">
        <v>2.85</v>
      </c>
      <c r="AO48">
        <v>2.5</v>
      </c>
      <c r="AQ48">
        <f>Tabella18[[#This Row],[m1]]+(Tabella19[[#This Row],[m1]]-Tabella18[[#This Row],[m1]])*((Tabella2[r = 1/λ]-1)/(2-1))</f>
        <v>-5.6737944919669587</v>
      </c>
      <c r="AR48">
        <f>Tabella18[[#This Row],[m2]]+(Tabella19[[#This Row],[m2]]-Tabella18[[#This Row],[m2]])*((Tabella2[r = 1/λ]-1)/(2-1))</f>
        <v>4.3262055080330413</v>
      </c>
      <c r="AS48">
        <f>Tabella18[[#This Row],[m2meno]]+(Tabella19[[#This Row],[m2meno]]-Tabella18[[#This Row],[m2meno]])*((Tabella2[r = 1/λ]-1)/(2-1))</f>
        <v>-15.673794491966959</v>
      </c>
      <c r="AT48">
        <f>Tabella18[[#This Row],[m3]]+(Tabella19[[#This Row],[m3]]-Tabella18[[#This Row],[m3]])*((Tabella2[r = 1/λ]-1)/(2-1))</f>
        <v>14.326205508033041</v>
      </c>
      <c r="AU48">
        <f>Tabella18[[#This Row],[m3meno]]+(Tabella19[[#This Row],[m3meno]]-Tabella18[[#This Row],[m3meno]])*((Tabella2[r = 1/λ]-1)/(2-1))</f>
        <v>-25.673794491966959</v>
      </c>
      <c r="AV48">
        <f>Tabella18[[#This Row],[m4]]+(Tabella19[[#This Row],[m4]]-Tabella18[[#This Row],[m4]])*((Tabella2[r = 1/λ]-1)/(2-1))</f>
        <v>24.326205508033041</v>
      </c>
      <c r="AW48">
        <f>Tabella18[[#This Row],[m4meno]]+(Tabella19[[#This Row],[m4meno]]-Tabella18[[#This Row],[m4meno]])*((Tabella2[r = 1/λ]-1)/(2-1))</f>
        <v>-35.673794491966959</v>
      </c>
      <c r="AX48">
        <f>Tabella18[[#This Row],[Φ_1]]+(Tabella19[[#This Row],[Φ_1]]-Tabella18[[#This Row],[Φ_1]])*((Tabella2[r = 1/λ]-1)/(2-1))</f>
        <v>0</v>
      </c>
      <c r="AY48">
        <f>Tabella18[[#This Row],[Φ_2]]+(Tabella19[[#This Row],[Φ_2]]-Tabella18[[#This Row],[Φ_2]])*((Tabella2[r = 1/λ]-1)/(2-1))</f>
        <v>2.8840000000000003</v>
      </c>
      <c r="AZ48">
        <f>Tabella18[[#This Row],[Φ_3]]+(Tabella19[[#This Row],[Φ_3]]-Tabella18[[#This Row],[Φ_3]])*((Tabella2[r = 1/λ]-1)/(2-1))</f>
        <v>2.5275000000000003</v>
      </c>
      <c r="BA48">
        <f>Tabella18[[#This Row],[Φ_4]]+(Tabella19[[#This Row],[Φ_4]]-Tabella18[[#This Row],[Φ_4]])*((Tabella2[r = 1/λ]-1)/(2-1))</f>
        <v>2.2635000000000001</v>
      </c>
      <c r="BC48">
        <f>Tabella21[[#This Row],[Φ_3]]+(Tabella21[[#This Row],[Φ_4]]-Tabella21[[#This Row],[Φ_3]])*(I19-Tabella21[[#This Row],[m3]])/(Tabella21[[#This Row],[m4]]-Tabella21[[#This Row],[m3]])</f>
        <v>2.5358515304198721</v>
      </c>
    </row>
    <row r="49" spans="17:55" x14ac:dyDescent="0.45">
      <c r="Q49">
        <v>-3.3</v>
      </c>
      <c r="R49">
        <f>E20*Tabella18[[#This Row],[mTab]]</f>
        <v>-4.5667304236571491</v>
      </c>
      <c r="S49">
        <f>Tabella18[[#This Row],[m1]]+10</f>
        <v>5.4332695763428509</v>
      </c>
      <c r="T49">
        <f>Tabella18[[#This Row],[m1]]-10</f>
        <v>-14.566730423657148</v>
      </c>
      <c r="U49">
        <f>Tabella18[[#This Row],[m1]]+20</f>
        <v>15.433269576342852</v>
      </c>
      <c r="V49">
        <f>Tabella18[[#This Row],[m2meno]]-10</f>
        <v>-24.566730423657148</v>
      </c>
      <c r="W49">
        <f>Tabella18[[#This Row],[m1]]+30</f>
        <v>25.433269576342852</v>
      </c>
      <c r="X49">
        <f>Tabella18[[#This Row],[m3meno]]-10</f>
        <v>-34.566730423657148</v>
      </c>
      <c r="Y49">
        <v>2.2999999999999998</v>
      </c>
      <c r="Z49">
        <v>2.2000000000000002</v>
      </c>
      <c r="AA49">
        <v>2.1</v>
      </c>
      <c r="AB49">
        <v>1.95</v>
      </c>
      <c r="AD49">
        <v>-5.2</v>
      </c>
      <c r="AE49">
        <f>Tabella19[[#This Row],[mTab]]*E20</f>
        <v>-7.196060061520356</v>
      </c>
      <c r="AF49">
        <f>Tabella19[[#This Row],[m1]]+10</f>
        <v>2.803939938479644</v>
      </c>
      <c r="AG49">
        <f>Tabella19[[#This Row],[m1]]-10</f>
        <v>-17.196060061520356</v>
      </c>
      <c r="AH49">
        <f>Tabella19[[#This Row],[m2]]+10</f>
        <v>12.803939938479644</v>
      </c>
      <c r="AI49">
        <f>Tabella19[[#This Row],[m2meno]]-10</f>
        <v>-27.196060061520356</v>
      </c>
      <c r="AJ49">
        <f>Tabella19[[#This Row],[m3]]+10</f>
        <v>22.803939938479644</v>
      </c>
      <c r="AK49">
        <f>Tabella19[[#This Row],[m3meno]]-10</f>
        <v>-37.196060061520356</v>
      </c>
      <c r="AL49">
        <v>3.8</v>
      </c>
      <c r="AM49">
        <v>3.4</v>
      </c>
      <c r="AN49">
        <v>2.85</v>
      </c>
      <c r="AO49">
        <v>2.5</v>
      </c>
      <c r="AQ49">
        <f>Tabella18[[#This Row],[m1]]+(Tabella19[[#This Row],[m1]]-Tabella18[[#This Row],[m1]])*((Tabella2[r = 1/λ]-1)/(2-1))</f>
        <v>-6.0654483172391771</v>
      </c>
      <c r="AR49">
        <f>Tabella18[[#This Row],[m2]]+(Tabella19[[#This Row],[m2]]-Tabella18[[#This Row],[m2]])*((Tabella2[r = 1/λ]-1)/(2-1))</f>
        <v>3.9345516827608229</v>
      </c>
      <c r="AS49">
        <f>Tabella18[[#This Row],[m2meno]]+(Tabella19[[#This Row],[m2meno]]-Tabella18[[#This Row],[m2meno]])*((Tabella2[r = 1/λ]-1)/(2-1))</f>
        <v>-16.065448317239177</v>
      </c>
      <c r="AT49">
        <f>Tabella18[[#This Row],[m3]]+(Tabella19[[#This Row],[m3]]-Tabella18[[#This Row],[m3]])*((Tabella2[r = 1/λ]-1)/(2-1))</f>
        <v>13.934551682760823</v>
      </c>
      <c r="AU49">
        <f>Tabella18[[#This Row],[m3meno]]+(Tabella19[[#This Row],[m3meno]]-Tabella18[[#This Row],[m3meno]])*((Tabella2[r = 1/λ]-1)/(2-1))</f>
        <v>-26.065448317239177</v>
      </c>
      <c r="AV49">
        <f>Tabella18[[#This Row],[m4]]+(Tabella19[[#This Row],[m4]]-Tabella18[[#This Row],[m4]])*((Tabella2[r = 1/λ]-1)/(2-1))</f>
        <v>23.934551682760823</v>
      </c>
      <c r="AW49">
        <f>Tabella18[[#This Row],[m4meno]]+(Tabella19[[#This Row],[m4meno]]-Tabella18[[#This Row],[m4meno]])*((Tabella2[r = 1/λ]-1)/(2-1))</f>
        <v>-36.065448317239174</v>
      </c>
      <c r="AX49">
        <f>Tabella18[[#This Row],[Φ_1]]+(Tabella19[[#This Row],[Φ_1]]-Tabella18[[#This Row],[Φ_1]])*((Tabella2[r = 1/λ]-1)/(2-1))</f>
        <v>3.1549999999999998</v>
      </c>
      <c r="AY49">
        <f>Tabella18[[#This Row],[Φ_2]]+(Tabella19[[#This Row],[Φ_2]]-Tabella18[[#This Row],[Φ_2]])*((Tabella2[r = 1/λ]-1)/(2-1))</f>
        <v>2.8840000000000003</v>
      </c>
      <c r="AZ49">
        <f>Tabella18[[#This Row],[Φ_3]]+(Tabella19[[#This Row],[Φ_3]]-Tabella18[[#This Row],[Φ_3]])*((Tabella2[r = 1/λ]-1)/(2-1))</f>
        <v>2.5275000000000003</v>
      </c>
      <c r="BA49">
        <f>Tabella18[[#This Row],[Φ_4]]+(Tabella19[[#This Row],[Φ_4]]-Tabella18[[#This Row],[Φ_4]])*((Tabella2[r = 1/λ]-1)/(2-1))</f>
        <v>2.2635000000000001</v>
      </c>
      <c r="BC49">
        <f>Tabella21[[#This Row],[Φ_3]]+(Tabella21[[#This Row],[Φ_4]]-Tabella21[[#This Row],[Φ_3]])*(I20-Tabella21[[#This Row],[m3]])/(Tabella21[[#This Row],[m4]]-Tabella21[[#This Row],[m3]])</f>
        <v>2.5678197601528612</v>
      </c>
    </row>
    <row r="50" spans="17:55" x14ac:dyDescent="0.45">
      <c r="Q50">
        <v>-3.3</v>
      </c>
      <c r="R50">
        <f>E21*Tabella18[[#This Row],[mTab]]</f>
        <v>-4.8225178124601715</v>
      </c>
      <c r="S50">
        <f>Tabella18[[#This Row],[m1]]+10</f>
        <v>5.1774821875398285</v>
      </c>
      <c r="T50">
        <f>Tabella18[[#This Row],[m1]]-10</f>
        <v>-14.822517812460172</v>
      </c>
      <c r="U50">
        <f>Tabella18[[#This Row],[m1]]+20</f>
        <v>15.177482187539828</v>
      </c>
      <c r="V50">
        <f>Tabella18[[#This Row],[m2meno]]-10</f>
        <v>-24.82251781246017</v>
      </c>
      <c r="W50">
        <f>Tabella18[[#This Row],[m1]]+30</f>
        <v>25.17748218753983</v>
      </c>
      <c r="X50">
        <f>Tabella18[[#This Row],[m3meno]]-10</f>
        <v>-34.82251781246017</v>
      </c>
      <c r="Y50">
        <v>2.2999999999999998</v>
      </c>
      <c r="Z50">
        <v>2.2000000000000002</v>
      </c>
      <c r="AA50">
        <v>2.1</v>
      </c>
      <c r="AB50">
        <v>1.95</v>
      </c>
      <c r="AD50">
        <v>-5.2</v>
      </c>
      <c r="AE50">
        <f>Tabella19[[#This Row],[mTab]]*E21</f>
        <v>-7.5991189772099679</v>
      </c>
      <c r="AF50">
        <f>Tabella19[[#This Row],[m1]]+10</f>
        <v>2.4008810227900321</v>
      </c>
      <c r="AG50">
        <f>Tabella19[[#This Row],[m1]]-10</f>
        <v>-17.599118977209969</v>
      </c>
      <c r="AH50">
        <f>Tabella19[[#This Row],[m2]]+10</f>
        <v>12.400881022790031</v>
      </c>
      <c r="AI50">
        <f>Tabella19[[#This Row],[m2meno]]-10</f>
        <v>-27.599118977209969</v>
      </c>
      <c r="AJ50">
        <f>Tabella19[[#This Row],[m3]]+10</f>
        <v>22.400881022790031</v>
      </c>
      <c r="AK50">
        <f>Tabella19[[#This Row],[m3meno]]-10</f>
        <v>-37.599118977209969</v>
      </c>
      <c r="AL50">
        <v>3.8</v>
      </c>
      <c r="AM50">
        <v>3.4</v>
      </c>
      <c r="AN50">
        <v>2.85</v>
      </c>
      <c r="AO50">
        <v>2.5</v>
      </c>
      <c r="AQ50">
        <f>Tabella18[[#This Row],[m1]]+(Tabella19[[#This Row],[m1]]-Tabella18[[#This Row],[m1]])*((Tabella2[r = 1/λ]-1)/(2-1))</f>
        <v>-6.4051804763675557</v>
      </c>
      <c r="AR50">
        <f>Tabella18[[#This Row],[m2]]+(Tabella19[[#This Row],[m2]]-Tabella18[[#This Row],[m2]])*((Tabella2[r = 1/λ]-1)/(2-1))</f>
        <v>3.5948195236324443</v>
      </c>
      <c r="AS50">
        <f>Tabella18[[#This Row],[m2meno]]+(Tabella19[[#This Row],[m2meno]]-Tabella18[[#This Row],[m2meno]])*((Tabella2[r = 1/λ]-1)/(2-1))</f>
        <v>-16.405180476367555</v>
      </c>
      <c r="AT50">
        <f>Tabella18[[#This Row],[m3]]+(Tabella19[[#This Row],[m3]]-Tabella18[[#This Row],[m3]])*((Tabella2[r = 1/λ]-1)/(2-1))</f>
        <v>13.594819523632443</v>
      </c>
      <c r="AU50">
        <f>Tabella18[[#This Row],[m3meno]]+(Tabella19[[#This Row],[m3meno]]-Tabella18[[#This Row],[m3meno]])*((Tabella2[r = 1/λ]-1)/(2-1))</f>
        <v>-26.405180476367555</v>
      </c>
      <c r="AV50">
        <f>Tabella18[[#This Row],[m4]]+(Tabella19[[#This Row],[m4]]-Tabella18[[#This Row],[m4]])*((Tabella2[r = 1/λ]-1)/(2-1))</f>
        <v>23.594819523632445</v>
      </c>
      <c r="AW50">
        <f>Tabella18[[#This Row],[m4meno]]+(Tabella19[[#This Row],[m4meno]]-Tabella18[[#This Row],[m4meno]])*((Tabella2[r = 1/λ]-1)/(2-1))</f>
        <v>-36.405180476367555</v>
      </c>
      <c r="AX50">
        <f>Tabella18[[#This Row],[Φ_1]]+(Tabella19[[#This Row],[Φ_1]]-Tabella18[[#This Row],[Φ_1]])*((Tabella2[r = 1/λ]-1)/(2-1))</f>
        <v>3.1549999999999998</v>
      </c>
      <c r="AY50">
        <f>Tabella18[[#This Row],[Φ_2]]+(Tabella19[[#This Row],[Φ_2]]-Tabella18[[#This Row],[Φ_2]])*((Tabella2[r = 1/λ]-1)/(2-1))</f>
        <v>2.8840000000000003</v>
      </c>
      <c r="AZ50">
        <f>Tabella18[[#This Row],[Φ_3]]+(Tabella19[[#This Row],[Φ_3]]-Tabella18[[#This Row],[Φ_3]])*((Tabella2[r = 1/λ]-1)/(2-1))</f>
        <v>2.5275000000000003</v>
      </c>
      <c r="BA50">
        <f>Tabella18[[#This Row],[Φ_4]]+(Tabella19[[#This Row],[Φ_4]]-Tabella18[[#This Row],[Φ_4]])*((Tabella2[r = 1/λ]-1)/(2-1))</f>
        <v>2.2635000000000001</v>
      </c>
      <c r="BC50">
        <f>Tabella21[[#This Row],[Φ_3]]+(Tabella21[[#This Row],[Φ_4]]-Tabella21[[#This Row],[Φ_3]])*(I21-Tabella21[[#This Row],[m3]])/(Tabella21[[#This Row],[m4]]-Tabella21[[#This Row],[m3]])</f>
        <v>2.6012584828102332</v>
      </c>
    </row>
    <row r="51" spans="17:55" x14ac:dyDescent="0.45">
      <c r="Q51">
        <v>-3.3</v>
      </c>
      <c r="R51">
        <f>E22*Tabella18[[#This Row],[mTab]]</f>
        <v>-5.0242079554069914</v>
      </c>
      <c r="S51">
        <f>Tabella18[[#This Row],[m1]]+10</f>
        <v>4.9757920445930086</v>
      </c>
      <c r="T51">
        <f>Tabella18[[#This Row],[m1]]-10</f>
        <v>-15.024207955406991</v>
      </c>
      <c r="U51">
        <f>Tabella18[[#This Row],[m1]]+20</f>
        <v>14.975792044593009</v>
      </c>
      <c r="V51">
        <f>Tabella18[[#This Row],[m2meno]]-10</f>
        <v>-25.024207955406993</v>
      </c>
      <c r="W51">
        <f>Tabella18[[#This Row],[m1]]+30</f>
        <v>24.975792044593007</v>
      </c>
      <c r="X51">
        <f>Tabella18[[#This Row],[m3meno]]-10</f>
        <v>-35.024207955406993</v>
      </c>
      <c r="Y51">
        <v>2.2999999999999998</v>
      </c>
      <c r="Z51">
        <v>2.2000000000000002</v>
      </c>
      <c r="AA51">
        <v>2.1</v>
      </c>
      <c r="AB51">
        <v>1.95</v>
      </c>
      <c r="AD51">
        <v>-5.2</v>
      </c>
      <c r="AE51">
        <f>Tabella19[[#This Row],[mTab]]*E22</f>
        <v>-7.9169337479140482</v>
      </c>
      <c r="AF51">
        <f>Tabella19[[#This Row],[m1]]+10</f>
        <v>2.0830662520859518</v>
      </c>
      <c r="AG51">
        <f>Tabella19[[#This Row],[m1]]-10</f>
        <v>-17.916933747914047</v>
      </c>
      <c r="AH51">
        <f>Tabella19[[#This Row],[m2]]+10</f>
        <v>12.083066252085953</v>
      </c>
      <c r="AI51">
        <f>Tabella19[[#This Row],[m2meno]]-10</f>
        <v>-27.916933747914047</v>
      </c>
      <c r="AJ51">
        <f>Tabella19[[#This Row],[m3]]+10</f>
        <v>22.083066252085953</v>
      </c>
      <c r="AK51">
        <f>Tabella19[[#This Row],[m3meno]]-10</f>
        <v>-37.916933747914044</v>
      </c>
      <c r="AL51">
        <v>3.8</v>
      </c>
      <c r="AM51">
        <v>3.4</v>
      </c>
      <c r="AN51">
        <v>2.85</v>
      </c>
      <c r="AO51">
        <v>2.5</v>
      </c>
      <c r="AQ51">
        <f>Tabella18[[#This Row],[m1]]+(Tabella19[[#This Row],[m1]]-Tabella18[[#This Row],[m1]])*((Tabella2[r = 1/λ]-1)/(2-1))</f>
        <v>-6.6730616571360137</v>
      </c>
      <c r="AR51">
        <f>Tabella18[[#This Row],[m2]]+(Tabella19[[#This Row],[m2]]-Tabella18[[#This Row],[m2]])*((Tabella2[r = 1/λ]-1)/(2-1))</f>
        <v>3.3269383428639863</v>
      </c>
      <c r="AS51">
        <f>Tabella18[[#This Row],[m2meno]]+(Tabella19[[#This Row],[m2meno]]-Tabella18[[#This Row],[m2meno]])*((Tabella2[r = 1/λ]-1)/(2-1))</f>
        <v>-16.673061657136014</v>
      </c>
      <c r="AT51">
        <f>Tabella18[[#This Row],[m3]]+(Tabella19[[#This Row],[m3]]-Tabella18[[#This Row],[m3]])*((Tabella2[r = 1/λ]-1)/(2-1))</f>
        <v>13.326938342863986</v>
      </c>
      <c r="AU51">
        <f>Tabella18[[#This Row],[m3meno]]+(Tabella19[[#This Row],[m3meno]]-Tabella18[[#This Row],[m3meno]])*((Tabella2[r = 1/λ]-1)/(2-1))</f>
        <v>-26.673061657136014</v>
      </c>
      <c r="AV51">
        <f>Tabella18[[#This Row],[m4]]+(Tabella19[[#This Row],[m4]]-Tabella18[[#This Row],[m4]])*((Tabella2[r = 1/λ]-1)/(2-1))</f>
        <v>23.326938342863986</v>
      </c>
      <c r="AW51">
        <f>Tabella18[[#This Row],[m4meno]]+(Tabella19[[#This Row],[m4meno]]-Tabella18[[#This Row],[m4meno]])*((Tabella2[r = 1/λ]-1)/(2-1))</f>
        <v>-36.67306165713601</v>
      </c>
      <c r="AX51">
        <f>Tabella18[[#This Row],[Φ_1]]+(Tabella19[[#This Row],[Φ_1]]-Tabella18[[#This Row],[Φ_1]])*((Tabella2[r = 1/λ]-1)/(2-1))</f>
        <v>3.1549999999999998</v>
      </c>
      <c r="AY51">
        <f>Tabella18[[#This Row],[Φ_2]]+(Tabella19[[#This Row],[Φ_2]]-Tabella18[[#This Row],[Φ_2]])*((Tabella2[r = 1/λ]-1)/(2-1))</f>
        <v>2.8840000000000003</v>
      </c>
      <c r="AZ51">
        <f>Tabella18[[#This Row],[Φ_3]]+(Tabella19[[#This Row],[Φ_3]]-Tabella18[[#This Row],[Φ_3]])*((Tabella2[r = 1/λ]-1)/(2-1))</f>
        <v>2.5275000000000003</v>
      </c>
      <c r="BA51">
        <f>Tabella18[[#This Row],[Φ_4]]+(Tabella19[[#This Row],[Φ_4]]-Tabella18[[#This Row],[Φ_4]])*((Tabella2[r = 1/λ]-1)/(2-1))</f>
        <v>2.2635000000000001</v>
      </c>
      <c r="BC51">
        <f>Tabella21[[#This Row],[Φ_3]]+(Tabella21[[#This Row],[Φ_4]]-Tabella21[[#This Row],[Φ_3]])*(I22-Tabella21[[#This Row],[m3]])/(Tabella21[[#This Row],[m4]]-Tabella21[[#This Row],[m3]])</f>
        <v>2.63668091635581</v>
      </c>
    </row>
    <row r="52" spans="17:55" x14ac:dyDescent="0.45">
      <c r="Q52">
        <v>-3.3</v>
      </c>
      <c r="R52">
        <f>E23*Tabella18[[#This Row],[mTab]]</f>
        <v>-5.1567958947899459</v>
      </c>
      <c r="S52">
        <f>Tabella18[[#This Row],[m1]]+10</f>
        <v>4.8432041052100541</v>
      </c>
      <c r="T52">
        <f>Tabella18[[#This Row],[m1]]-10</f>
        <v>-15.156795894789946</v>
      </c>
      <c r="U52">
        <f>Tabella18[[#This Row],[m1]]+20</f>
        <v>14.843204105210054</v>
      </c>
      <c r="V52">
        <f>Tabella18[[#This Row],[m2meno]]-10</f>
        <v>-25.156795894789944</v>
      </c>
      <c r="W52">
        <f>Tabella18[[#This Row],[m1]]+30</f>
        <v>24.843204105210056</v>
      </c>
      <c r="X52">
        <f>Tabella18[[#This Row],[m3meno]]-10</f>
        <v>-35.156795894789944</v>
      </c>
      <c r="Y52">
        <v>2.2999999999999998</v>
      </c>
      <c r="Z52">
        <v>2.2000000000000002</v>
      </c>
      <c r="AA52">
        <v>2.1</v>
      </c>
      <c r="AB52">
        <v>1.95</v>
      </c>
      <c r="AD52">
        <v>-5.2</v>
      </c>
      <c r="AE52">
        <f>Tabella19[[#This Row],[mTab]]*E23</f>
        <v>-8.1258601978508249</v>
      </c>
      <c r="AF52">
        <f>Tabella19[[#This Row],[m1]]+10</f>
        <v>1.8741398021491751</v>
      </c>
      <c r="AG52">
        <f>Tabella19[[#This Row],[m1]]-10</f>
        <v>-18.125860197850827</v>
      </c>
      <c r="AH52">
        <f>Tabella19[[#This Row],[m2]]+10</f>
        <v>11.874139802149175</v>
      </c>
      <c r="AI52">
        <f>Tabella19[[#This Row],[m2meno]]-10</f>
        <v>-28.125860197850827</v>
      </c>
      <c r="AJ52">
        <f>Tabella19[[#This Row],[m3]]+10</f>
        <v>21.874139802149173</v>
      </c>
      <c r="AK52">
        <f>Tabella19[[#This Row],[m3meno]]-10</f>
        <v>-38.125860197850827</v>
      </c>
      <c r="AL52">
        <v>3.8</v>
      </c>
      <c r="AM52">
        <v>3.4</v>
      </c>
      <c r="AN52">
        <v>2.85</v>
      </c>
      <c r="AO52">
        <v>2.5</v>
      </c>
      <c r="AQ52">
        <f>Tabella18[[#This Row],[m1]]+(Tabella19[[#This Row],[m1]]-Tabella18[[#This Row],[m1]])*((Tabella2[r = 1/λ]-1)/(2-1))</f>
        <v>-6.8491625475346467</v>
      </c>
      <c r="AR52">
        <f>Tabella18[[#This Row],[m2]]+(Tabella19[[#This Row],[m2]]-Tabella18[[#This Row],[m2]])*((Tabella2[r = 1/λ]-1)/(2-1))</f>
        <v>3.1508374524653529</v>
      </c>
      <c r="AS52">
        <f>Tabella18[[#This Row],[m2meno]]+(Tabella19[[#This Row],[m2meno]]-Tabella18[[#This Row],[m2meno]])*((Tabella2[r = 1/λ]-1)/(2-1))</f>
        <v>-16.849162547534647</v>
      </c>
      <c r="AT52">
        <f>Tabella18[[#This Row],[m3]]+(Tabella19[[#This Row],[m3]]-Tabella18[[#This Row],[m3]])*((Tabella2[r = 1/λ]-1)/(2-1))</f>
        <v>13.150837452465353</v>
      </c>
      <c r="AU52">
        <f>Tabella18[[#This Row],[m3meno]]+(Tabella19[[#This Row],[m3meno]]-Tabella18[[#This Row],[m3meno]])*((Tabella2[r = 1/λ]-1)/(2-1))</f>
        <v>-26.849162547534647</v>
      </c>
      <c r="AV52">
        <f>Tabella18[[#This Row],[m4]]+(Tabella19[[#This Row],[m4]]-Tabella18[[#This Row],[m4]])*((Tabella2[r = 1/λ]-1)/(2-1))</f>
        <v>23.150837452465353</v>
      </c>
      <c r="AW52">
        <f>Tabella18[[#This Row],[m4meno]]+(Tabella19[[#This Row],[m4meno]]-Tabella18[[#This Row],[m4meno]])*((Tabella2[r = 1/λ]-1)/(2-1))</f>
        <v>-36.849162547534647</v>
      </c>
      <c r="AX52">
        <f>Tabella18[[#This Row],[Φ_1]]+(Tabella19[[#This Row],[Φ_1]]-Tabella18[[#This Row],[Φ_1]])*((Tabella2[r = 1/λ]-1)/(2-1))</f>
        <v>3.1549999999999998</v>
      </c>
      <c r="AY52">
        <f>Tabella18[[#This Row],[Φ_2]]+(Tabella19[[#This Row],[Φ_2]]-Tabella18[[#This Row],[Φ_2]])*((Tabella2[r = 1/λ]-1)/(2-1))</f>
        <v>2.8840000000000003</v>
      </c>
      <c r="AZ52">
        <f>Tabella18[[#This Row],[Φ_3]]+(Tabella19[[#This Row],[Φ_3]]-Tabella18[[#This Row],[Φ_3]])*((Tabella2[r = 1/λ]-1)/(2-1))</f>
        <v>2.5275000000000003</v>
      </c>
      <c r="BA52">
        <f>Tabella18[[#This Row],[Φ_4]]+(Tabella19[[#This Row],[Φ_4]]-Tabella18[[#This Row],[Φ_4]])*((Tabella2[r = 1/λ]-1)/(2-1))</f>
        <v>2.2635000000000001</v>
      </c>
      <c r="BC52">
        <f>Tabella21[[#This Row],[Φ_3]]+(Tabella21[[#This Row],[Φ_4]]-Tabella21[[#This Row],[Φ_3]])*(I23-Tabella21[[#This Row],[m3]])/(Tabella21[[#This Row],[m4]]-Tabella21[[#This Row],[m3]])</f>
        <v>2.6746002522980206</v>
      </c>
    </row>
    <row r="53" spans="17:55" x14ac:dyDescent="0.45">
      <c r="Q53">
        <v>-3.3</v>
      </c>
      <c r="R53">
        <f>E24*Tabella18[[#This Row],[mTab]]</f>
        <v>-5.2052767070831338</v>
      </c>
      <c r="S53">
        <f>Tabella18[[#This Row],[m1]]+10</f>
        <v>4.7947232929168662</v>
      </c>
      <c r="T53">
        <f>Tabella18[[#This Row],[m1]]-10</f>
        <v>-15.205276707083133</v>
      </c>
      <c r="U53">
        <f>Tabella18[[#This Row],[m1]]+20</f>
        <v>14.794723292916867</v>
      </c>
      <c r="V53">
        <f>Tabella18[[#This Row],[m2meno]]-10</f>
        <v>-25.205276707083133</v>
      </c>
      <c r="W53">
        <f>Tabella18[[#This Row],[m1]]+30</f>
        <v>24.794723292916867</v>
      </c>
      <c r="X53">
        <f>Tabella18[[#This Row],[m3meno]]-10</f>
        <v>-35.205276707083129</v>
      </c>
      <c r="Y53">
        <v>2.2999999999999998</v>
      </c>
      <c r="Z53">
        <v>2.2000000000000002</v>
      </c>
      <c r="AA53">
        <v>2.1</v>
      </c>
      <c r="AB53">
        <v>1.95</v>
      </c>
      <c r="AD53">
        <v>-5.2</v>
      </c>
      <c r="AE53">
        <f>Tabella19[[#This Row],[mTab]]*E24</f>
        <v>-8.2022542051006955</v>
      </c>
      <c r="AF53">
        <f>Tabella19[[#This Row],[m1]]+10</f>
        <v>1.7977457948993045</v>
      </c>
      <c r="AG53">
        <f>Tabella19[[#This Row],[m1]]-10</f>
        <v>-18.202254205100694</v>
      </c>
      <c r="AH53">
        <f>Tabella19[[#This Row],[m2]]+10</f>
        <v>11.797745794899305</v>
      </c>
      <c r="AI53">
        <f>Tabella19[[#This Row],[m2meno]]-10</f>
        <v>-28.202254205100694</v>
      </c>
      <c r="AJ53">
        <f>Tabella19[[#This Row],[m3]]+10</f>
        <v>21.797745794899306</v>
      </c>
      <c r="AK53">
        <f>Tabella19[[#This Row],[m3meno]]-10</f>
        <v>-38.202254205100694</v>
      </c>
      <c r="AL53">
        <v>3.8</v>
      </c>
      <c r="AM53">
        <v>3.4</v>
      </c>
      <c r="AN53">
        <v>2.85</v>
      </c>
      <c r="AO53">
        <v>2.5</v>
      </c>
      <c r="AQ53">
        <f>Tabella18[[#This Row],[m1]]+(Tabella19[[#This Row],[m1]]-Tabella18[[#This Row],[m1]])*((Tabella2[r = 1/λ]-1)/(2-1))</f>
        <v>-6.9135538809531436</v>
      </c>
      <c r="AR53">
        <f>Tabella18[[#This Row],[m2]]+(Tabella19[[#This Row],[m2]]-Tabella18[[#This Row],[m2]])*((Tabella2[r = 1/λ]-1)/(2-1))</f>
        <v>3.086446119046856</v>
      </c>
      <c r="AS53">
        <f>Tabella18[[#This Row],[m2meno]]+(Tabella19[[#This Row],[m2meno]]-Tabella18[[#This Row],[m2meno]])*((Tabella2[r = 1/λ]-1)/(2-1))</f>
        <v>-16.913553880953142</v>
      </c>
      <c r="AT53">
        <f>Tabella18[[#This Row],[m3]]+(Tabella19[[#This Row],[m3]]-Tabella18[[#This Row],[m3]])*((Tabella2[r = 1/λ]-1)/(2-1))</f>
        <v>13.086446119046856</v>
      </c>
      <c r="AU53">
        <f>Tabella18[[#This Row],[m3meno]]+(Tabella19[[#This Row],[m3meno]]-Tabella18[[#This Row],[m3meno]])*((Tabella2[r = 1/λ]-1)/(2-1))</f>
        <v>-26.913553880953142</v>
      </c>
      <c r="AV53">
        <f>Tabella18[[#This Row],[m4]]+(Tabella19[[#This Row],[m4]]-Tabella18[[#This Row],[m4]])*((Tabella2[r = 1/λ]-1)/(2-1))</f>
        <v>23.086446119046858</v>
      </c>
      <c r="AW53">
        <f>Tabella18[[#This Row],[m4meno]]+(Tabella19[[#This Row],[m4meno]]-Tabella18[[#This Row],[m4meno]])*((Tabella2[r = 1/λ]-1)/(2-1))</f>
        <v>-36.913553880953138</v>
      </c>
      <c r="AX53">
        <f>Tabella18[[#This Row],[Φ_1]]+(Tabella19[[#This Row],[Φ_1]]-Tabella18[[#This Row],[Φ_1]])*((Tabella2[r = 1/λ]-1)/(2-1))</f>
        <v>3.1549999999999998</v>
      </c>
      <c r="AY53">
        <f>Tabella18[[#This Row],[Φ_2]]+(Tabella19[[#This Row],[Φ_2]]-Tabella18[[#This Row],[Φ_2]])*((Tabella2[r = 1/λ]-1)/(2-1))</f>
        <v>2.8840000000000003</v>
      </c>
      <c r="AZ53">
        <f>Tabella18[[#This Row],[Φ_3]]+(Tabella19[[#This Row],[Φ_3]]-Tabella18[[#This Row],[Φ_3]])*((Tabella2[r = 1/λ]-1)/(2-1))</f>
        <v>2.5275000000000003</v>
      </c>
      <c r="BA53">
        <f>Tabella18[[#This Row],[Φ_4]]+(Tabella19[[#This Row],[Φ_4]]-Tabella18[[#This Row],[Φ_4]])*((Tabella2[r = 1/λ]-1)/(2-1))</f>
        <v>2.2635000000000001</v>
      </c>
      <c r="BC53">
        <f>Tabella21[[#This Row],[Φ_3]]+(Tabella21[[#This Row],[Φ_4]]-Tabella21[[#This Row],[Φ_3]])*(I24-Tabella21[[#This Row],[m3]])/(Tabella21[[#This Row],[m4]]-Tabella21[[#This Row],[m3]])</f>
        <v>2.7155296584385744</v>
      </c>
    </row>
    <row r="54" spans="17:55" x14ac:dyDescent="0.45">
      <c r="Q54">
        <v>-3.3</v>
      </c>
      <c r="R54">
        <f>E25*Tabella18[[#This Row],[mTab]]</f>
        <v>-5.1546526254074276</v>
      </c>
      <c r="S54">
        <f>Tabella18[[#This Row],[m1]]+10</f>
        <v>4.8453473745925724</v>
      </c>
      <c r="T54">
        <f>Tabella18[[#This Row],[m1]]-10</f>
        <v>-15.154652625407428</v>
      </c>
      <c r="U54">
        <f>Tabella18[[#This Row],[m1]]+20</f>
        <v>14.845347374592572</v>
      </c>
      <c r="V54">
        <f>Tabella18[[#This Row],[m2meno]]-10</f>
        <v>-25.154652625407429</v>
      </c>
      <c r="W54">
        <f>Tabella18[[#This Row],[m1]]+30</f>
        <v>24.845347374592571</v>
      </c>
      <c r="X54">
        <f>Tabella18[[#This Row],[m3meno]]-10</f>
        <v>-35.154652625407429</v>
      </c>
      <c r="Y54">
        <v>2.2999999999999998</v>
      </c>
      <c r="Z54">
        <v>2.2000000000000002</v>
      </c>
      <c r="AA54">
        <v>2.1</v>
      </c>
      <c r="AB54">
        <v>1.95</v>
      </c>
      <c r="AD54">
        <v>-5.2</v>
      </c>
      <c r="AE54">
        <f>Tabella19[[#This Row],[mTab]]*E25</f>
        <v>-8.1224829248844319</v>
      </c>
      <c r="AF54">
        <f>Tabella19[[#This Row],[m1]]+10</f>
        <v>1.8775170751155681</v>
      </c>
      <c r="AG54">
        <f>Tabella19[[#This Row],[m1]]-10</f>
        <v>-18.12248292488443</v>
      </c>
      <c r="AH54">
        <f>Tabella19[[#This Row],[m2]]+10</f>
        <v>11.877517075115568</v>
      </c>
      <c r="AI54">
        <f>Tabella19[[#This Row],[m2meno]]-10</f>
        <v>-28.12248292488443</v>
      </c>
      <c r="AJ54">
        <f>Tabella19[[#This Row],[m3]]+10</f>
        <v>21.87751707511557</v>
      </c>
      <c r="AK54">
        <f>Tabella19[[#This Row],[m3meno]]-10</f>
        <v>-38.12248292488443</v>
      </c>
      <c r="AL54">
        <v>3.8</v>
      </c>
      <c r="AM54">
        <v>3.4</v>
      </c>
      <c r="AN54">
        <v>2.85</v>
      </c>
      <c r="AO54">
        <v>2.5</v>
      </c>
      <c r="AQ54">
        <f>Tabella18[[#This Row],[m1]]+(Tabella19[[#This Row],[m1]]-Tabella18[[#This Row],[m1]])*((Tabella2[r = 1/λ]-1)/(2-1))</f>
        <v>-6.8463158961093207</v>
      </c>
      <c r="AR54">
        <f>Tabella18[[#This Row],[m2]]+(Tabella19[[#This Row],[m2]]-Tabella18[[#This Row],[m2]])*((Tabella2[r = 1/λ]-1)/(2-1))</f>
        <v>3.1536841038906798</v>
      </c>
      <c r="AS54">
        <f>Tabella18[[#This Row],[m2meno]]+(Tabella19[[#This Row],[m2meno]]-Tabella18[[#This Row],[m2meno]])*((Tabella2[r = 1/λ]-1)/(2-1))</f>
        <v>-16.846315896109321</v>
      </c>
      <c r="AT54">
        <f>Tabella18[[#This Row],[m3]]+(Tabella19[[#This Row],[m3]]-Tabella18[[#This Row],[m3]])*((Tabella2[r = 1/λ]-1)/(2-1))</f>
        <v>13.153684103890679</v>
      </c>
      <c r="AU54">
        <f>Tabella18[[#This Row],[m3meno]]+(Tabella19[[#This Row],[m3meno]]-Tabella18[[#This Row],[m3meno]])*((Tabella2[r = 1/λ]-1)/(2-1))</f>
        <v>-26.846315896109321</v>
      </c>
      <c r="AV54">
        <f>Tabella18[[#This Row],[m4]]+(Tabella19[[#This Row],[m4]]-Tabella18[[#This Row],[m4]])*((Tabella2[r = 1/λ]-1)/(2-1))</f>
        <v>23.153684103890679</v>
      </c>
      <c r="AW54">
        <f>Tabella18[[#This Row],[m4meno]]+(Tabella19[[#This Row],[m4meno]]-Tabella18[[#This Row],[m4meno]])*((Tabella2[r = 1/λ]-1)/(2-1))</f>
        <v>-36.846315896109317</v>
      </c>
      <c r="AX54">
        <f>Tabella18[[#This Row],[Φ_1]]+(Tabella19[[#This Row],[Φ_1]]-Tabella18[[#This Row],[Φ_1]])*((Tabella2[r = 1/λ]-1)/(2-1))</f>
        <v>3.1549999999999998</v>
      </c>
      <c r="AY54">
        <f>Tabella18[[#This Row],[Φ_2]]+(Tabella19[[#This Row],[Φ_2]]-Tabella18[[#This Row],[Φ_2]])*((Tabella2[r = 1/λ]-1)/(2-1))</f>
        <v>2.8840000000000003</v>
      </c>
      <c r="AZ54">
        <f>Tabella18[[#This Row],[Φ_3]]+(Tabella19[[#This Row],[Φ_3]]-Tabella18[[#This Row],[Φ_3]])*((Tabella2[r = 1/λ]-1)/(2-1))</f>
        <v>2.5275000000000003</v>
      </c>
      <c r="BA54">
        <f>Tabella18[[#This Row],[Φ_4]]+(Tabella19[[#This Row],[Φ_4]]-Tabella18[[#This Row],[Φ_4]])*((Tabella2[r = 1/λ]-1)/(2-1))</f>
        <v>2.2635000000000001</v>
      </c>
      <c r="BC54">
        <f>Tabella21[[#This Row],[Φ_3]]+(Tabella21[[#This Row],[Φ_4]]-Tabella21[[#This Row],[Φ_3]])*(I25-Tabella21[[#This Row],[m3]])/(Tabella21[[#This Row],[m4]]-Tabella21[[#This Row],[m3]])</f>
        <v>2.7599820330789782</v>
      </c>
    </row>
    <row r="55" spans="17:55" x14ac:dyDescent="0.45">
      <c r="Q55">
        <v>-3.3</v>
      </c>
      <c r="R55">
        <f>E26*Tabella18[[#This Row],[mTab]]</f>
        <v>-5.0260921247432604</v>
      </c>
      <c r="S55">
        <f>Tabella18[[#This Row],[m1]]+10</f>
        <v>4.9739078752567396</v>
      </c>
      <c r="T55">
        <f>Tabella18[[#This Row],[m1]]-10</f>
        <v>-15.026092124743261</v>
      </c>
      <c r="U55">
        <f>Tabella18[[#This Row],[m1]]+20</f>
        <v>14.973907875256739</v>
      </c>
      <c r="V55">
        <f>Tabella18[[#This Row],[m2meno]]-10</f>
        <v>-25.026092124743261</v>
      </c>
      <c r="W55">
        <f>Tabella18[[#This Row],[m1]]+30</f>
        <v>24.973907875256739</v>
      </c>
      <c r="X55">
        <f>Tabella18[[#This Row],[m3meno]]-10</f>
        <v>-35.026092124743258</v>
      </c>
      <c r="Y55">
        <v>2.2999999999999998</v>
      </c>
      <c r="Z55">
        <v>2.2000000000000002</v>
      </c>
      <c r="AA55">
        <v>2.1</v>
      </c>
      <c r="AB55">
        <v>1.95</v>
      </c>
      <c r="AD55">
        <v>-5.2</v>
      </c>
      <c r="AE55">
        <f>Tabella19[[#This Row],[mTab]]*E26</f>
        <v>-7.9199027420196844</v>
      </c>
      <c r="AF55">
        <f>Tabella19[[#This Row],[m1]]+10</f>
        <v>2.0800972579803156</v>
      </c>
      <c r="AG55">
        <f>Tabella19[[#This Row],[m1]]-10</f>
        <v>-17.919902742019683</v>
      </c>
      <c r="AH55">
        <f>Tabella19[[#This Row],[m2]]+10</f>
        <v>12.080097257980317</v>
      </c>
      <c r="AI55">
        <f>Tabella19[[#This Row],[m2meno]]-10</f>
        <v>-27.919902742019683</v>
      </c>
      <c r="AJ55">
        <f>Tabella19[[#This Row],[m3]]+10</f>
        <v>22.080097257980317</v>
      </c>
      <c r="AK55">
        <f>Tabella19[[#This Row],[m3meno]]-10</f>
        <v>-37.919902742019687</v>
      </c>
      <c r="AL55">
        <v>3.8</v>
      </c>
      <c r="AM55">
        <v>3.4</v>
      </c>
      <c r="AN55">
        <v>2.85</v>
      </c>
      <c r="AO55">
        <v>2.5</v>
      </c>
      <c r="AQ55">
        <f>Tabella18[[#This Row],[m1]]+(Tabella19[[#This Row],[m1]]-Tabella18[[#This Row],[m1]])*((Tabella2[r = 1/λ]-1)/(2-1))</f>
        <v>-6.6755641765908225</v>
      </c>
      <c r="AR55">
        <f>Tabella18[[#This Row],[m2]]+(Tabella19[[#This Row],[m2]]-Tabella18[[#This Row],[m2]])*((Tabella2[r = 1/λ]-1)/(2-1))</f>
        <v>3.3244358234091775</v>
      </c>
      <c r="AS55">
        <f>Tabella18[[#This Row],[m2meno]]+(Tabella19[[#This Row],[m2meno]]-Tabella18[[#This Row],[m2meno]])*((Tabella2[r = 1/λ]-1)/(2-1))</f>
        <v>-16.675564176590822</v>
      </c>
      <c r="AT55">
        <f>Tabella18[[#This Row],[m3]]+(Tabella19[[#This Row],[m3]]-Tabella18[[#This Row],[m3]])*((Tabella2[r = 1/λ]-1)/(2-1))</f>
        <v>13.324435823409178</v>
      </c>
      <c r="AU55">
        <f>Tabella18[[#This Row],[m3meno]]+(Tabella19[[#This Row],[m3meno]]-Tabella18[[#This Row],[m3meno]])*((Tabella2[r = 1/λ]-1)/(2-1))</f>
        <v>-26.675564176590822</v>
      </c>
      <c r="AV55">
        <f>Tabella18[[#This Row],[m4]]+(Tabella19[[#This Row],[m4]]-Tabella18[[#This Row],[m4]])*((Tabella2[r = 1/λ]-1)/(2-1))</f>
        <v>23.324435823409178</v>
      </c>
      <c r="AW55">
        <f>Tabella18[[#This Row],[m4meno]]+(Tabella19[[#This Row],[m4meno]]-Tabella18[[#This Row],[m4meno]])*((Tabella2[r = 1/λ]-1)/(2-1))</f>
        <v>-36.675564176590825</v>
      </c>
      <c r="AX55">
        <f>Tabella18[[#This Row],[Φ_1]]+(Tabella19[[#This Row],[Φ_1]]-Tabella18[[#This Row],[Φ_1]])*((Tabella2[r = 1/λ]-1)/(2-1))</f>
        <v>3.1549999999999998</v>
      </c>
      <c r="AY55">
        <f>Tabella18[[#This Row],[Φ_2]]+(Tabella19[[#This Row],[Φ_2]]-Tabella18[[#This Row],[Φ_2]])*((Tabella2[r = 1/λ]-1)/(2-1))</f>
        <v>2.8840000000000003</v>
      </c>
      <c r="AZ55">
        <f>Tabella18[[#This Row],[Φ_3]]+(Tabella19[[#This Row],[Φ_3]]-Tabella18[[#This Row],[Φ_3]])*((Tabella2[r = 1/λ]-1)/(2-1))</f>
        <v>2.5275000000000003</v>
      </c>
      <c r="BA55">
        <f>Tabella18[[#This Row],[Φ_4]]+(Tabella19[[#This Row],[Φ_4]]-Tabella18[[#This Row],[Φ_4]])*((Tabella2[r = 1/λ]-1)/(2-1))</f>
        <v>2.2635000000000001</v>
      </c>
      <c r="BC55">
        <f>Tabella21[[#This Row],[Φ_3]]+(Tabella21[[#This Row],[Φ_4]]-Tabella21[[#This Row],[Φ_3]])*(I26-Tabella21[[#This Row],[m3]])/(Tabella21[[#This Row],[m4]]-Tabella21[[#This Row],[m3]])</f>
        <v>2.8072021268109233</v>
      </c>
    </row>
    <row r="56" spans="17:55" x14ac:dyDescent="0.45">
      <c r="Q56">
        <v>-3.3</v>
      </c>
      <c r="R56">
        <f>E27*Tabella18[[#This Row],[mTab]]</f>
        <v>-5.0260921247432604</v>
      </c>
      <c r="S56">
        <f>Tabella18[[#This Row],[m1]]+10</f>
        <v>4.9739078752567396</v>
      </c>
      <c r="T56">
        <f>Tabella18[[#This Row],[m1]]-10</f>
        <v>-15.026092124743261</v>
      </c>
      <c r="U56">
        <f>Tabella18[[#This Row],[m1]]+20</f>
        <v>14.973907875256739</v>
      </c>
      <c r="V56">
        <f>Tabella18[[#This Row],[m2meno]]-10</f>
        <v>-25.026092124743261</v>
      </c>
      <c r="W56">
        <f>Tabella18[[#This Row],[m1]]+30</f>
        <v>24.973907875256739</v>
      </c>
      <c r="X56">
        <f>Tabella18[[#This Row],[m3meno]]-10</f>
        <v>-35.026092124743258</v>
      </c>
      <c r="Y56">
        <v>2.2999999999999998</v>
      </c>
      <c r="Z56">
        <v>2.2000000000000002</v>
      </c>
      <c r="AA56">
        <v>2.1</v>
      </c>
      <c r="AB56">
        <v>1.95</v>
      </c>
      <c r="AD56">
        <v>-5.2</v>
      </c>
      <c r="AE56">
        <f>Tabella19[[#This Row],[mTab]]*E27</f>
        <v>-7.9199027420196844</v>
      </c>
      <c r="AF56">
        <f>Tabella19[[#This Row],[m1]]+10</f>
        <v>2.0800972579803156</v>
      </c>
      <c r="AG56">
        <f>Tabella19[[#This Row],[m1]]-10</f>
        <v>-17.919902742019683</v>
      </c>
      <c r="AH56">
        <f>Tabella19[[#This Row],[m2]]+10</f>
        <v>12.080097257980317</v>
      </c>
      <c r="AI56">
        <f>Tabella19[[#This Row],[m2meno]]-10</f>
        <v>-27.919902742019683</v>
      </c>
      <c r="AJ56">
        <f>Tabella19[[#This Row],[m3]]+10</f>
        <v>22.080097257980317</v>
      </c>
      <c r="AK56">
        <f>Tabella19[[#This Row],[m3meno]]-10</f>
        <v>-37.919902742019687</v>
      </c>
      <c r="AL56">
        <v>3.8</v>
      </c>
      <c r="AM56">
        <v>3.4</v>
      </c>
      <c r="AN56">
        <v>2.85</v>
      </c>
      <c r="AO56">
        <v>2.5</v>
      </c>
    </row>
  </sheetData>
  <mergeCells count="8">
    <mergeCell ref="Q4:BA4"/>
    <mergeCell ref="AQ5:BA5"/>
    <mergeCell ref="R5:X5"/>
    <mergeCell ref="AD34:AO34"/>
    <mergeCell ref="AQ34:BA34"/>
    <mergeCell ref="Q33:BA33"/>
    <mergeCell ref="R34:X34"/>
    <mergeCell ref="AD5:AO5"/>
  </mergeCells>
  <pageMargins left="0.7" right="0.7" top="0.75" bottom="0.75" header="0.3" footer="0.3"/>
  <pageSetup paperSize="9" orientation="portrait" horizontalDpi="4294967293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workbookViewId="0">
      <selection activeCell="T32" sqref="T32"/>
    </sheetView>
  </sheetViews>
  <sheetFormatPr defaultRowHeight="14.25" x14ac:dyDescent="0.45"/>
  <cols>
    <col min="1" max="1" width="7.3984375" customWidth="1"/>
    <col min="8" max="8" width="10.33203125" customWidth="1"/>
    <col min="9" max="9" width="11.265625" customWidth="1"/>
    <col min="12" max="12" width="12.53125" customWidth="1"/>
    <col min="13" max="13" width="12.6640625" customWidth="1"/>
    <col min="14" max="14" width="11.46484375" customWidth="1"/>
    <col min="15" max="15" width="11.9296875" customWidth="1"/>
    <col min="16" max="16" width="1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7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ATAN((Tabella224[[#This Row],[m0]]/(Tabella224[[#This Row],[X0]]-0.75*Tabella224[[#This Row],[Cr]])))</f>
        <v>0.3318971510674355</v>
      </c>
    </row>
    <row r="6" spans="1:17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16</v>
      </c>
      <c r="H6" t="s">
        <v>54</v>
      </c>
      <c r="I6" t="s">
        <v>55</v>
      </c>
      <c r="J6" t="s">
        <v>43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21</v>
      </c>
      <c r="Q6" t="s">
        <v>19</v>
      </c>
    </row>
    <row r="7" spans="1:17" x14ac:dyDescent="0.45">
      <c r="A7">
        <v>0</v>
      </c>
      <c r="B7">
        <f>Tabella3[[#This Row],[α_abs]]+Tabella224[α0_w]*57.3-Tabella224[iw]*57.3</f>
        <v>-2.6684609999999997</v>
      </c>
      <c r="C7">
        <f>Tabella3[[#This Row],[α_b]]+Tabella224[iw]*57.3</f>
        <v>-1.1672009999999997</v>
      </c>
      <c r="D7">
        <v>9.8282834347781997E-2</v>
      </c>
      <c r="E7">
        <v>0.115402510819653</v>
      </c>
      <c r="F7">
        <v>13.6917312039044</v>
      </c>
      <c r="G7">
        <v>4.3124999907486403</v>
      </c>
      <c r="H7">
        <f>Tabella24[[#This Row],[X]]/Tabella224[b/2]</f>
        <v>1.011953525787465</v>
      </c>
      <c r="I7">
        <f>Tabella24[[#This Row],[m]]/Tabella224[b/2]</f>
        <v>0.31873614122310723</v>
      </c>
      <c r="J7">
        <f>((0.1124 + 0.1265 * Tabella224[Λ_c/4] + 0.1766 * Tabella224[Λ_c/4]^2)/Tabella24[[#This Row],[r (X/b/2)]]^2) + (0.1024/Tabella24[[#This Row],[r (X/b/2)]]) +2</f>
        <v>2.2140674721088893</v>
      </c>
      <c r="K7">
        <f>(0.1124/Tabella24[[#This Row],[r (X/b/2)]]^2) + ( 0.1024/Tabella24[[#This Row],[r (X/b/2)]]) + 2</f>
        <v>2.2109506899516331</v>
      </c>
      <c r="L7">
        <f>Tabella24[[#This Row],[Kε_Λ]]/Tabella24[[#This Row],[Kε_Λ0]]</f>
        <v>1.0014097022477351</v>
      </c>
      <c r="M7">
        <f>(Tabella24[[#This Row],[r (X/b/2)]]/(Tabella24[[#This Row],[r (X/b/2)]]^2 + Tabella24[[#This Row],[m (m/b/2)]]^2))* (0.4876/(SQRT(Tabella24[[#This Row],[r (X/b/2)]]^2 + 0.6319 + Tabella24[[#This Row],[m (m/b/2)]]^2)))</f>
        <v>0.33065171554502809</v>
      </c>
      <c r="N7">
        <f>(1+(Tabella24[[#This Row],[r (X/b/2)]]^2/(Tabella24[[#This Row],[r (X/b/2)]]^2+0.7915 + 5.074 * Tabella24[[#This Row],[m (m/b/2)]]^2))^(0.3113))</f>
        <v>1.7740967362851428</v>
      </c>
      <c r="O7">
        <f>(1-(SQRT((Tabella24[[#This Row],[m (m/b/2)]]^2)/(1+Tabella24[[#This Row],[m (m/b/2)]]^2))))</f>
        <v>0.69631679064277896</v>
      </c>
      <c r="P7">
        <f>Tabella24[[#This Row],[dε/dα_k]]*(Tabella24[[#This Row],[dε/dα_1]]+Tabella24[[#This Row],[dε/dα_2]]*Tabella24[[#This Row],[dε/dα_3]])*(Tabella24[[#This Row],[CL_α]]*57.3/(3.14*Tabella224[AR]))</f>
        <v>0.23438014029411439</v>
      </c>
      <c r="Q7">
        <f>Tabella24[[#This Row],[dε/dα]]*Tabella24[[#This Row],[α_abs]]</f>
        <v>0</v>
      </c>
    </row>
    <row r="8" spans="1:17" x14ac:dyDescent="0.45">
      <c r="A8">
        <f>A7+1</f>
        <v>1</v>
      </c>
      <c r="B8">
        <f>Tabella3[[#This Row],[α_abs]]+Tabella224[α0_w]*57.3-Tabella224[iw]*57.3</f>
        <v>-1.668461</v>
      </c>
      <c r="C8">
        <f>Tabella3[[#This Row],[α_b]]+Tabella224[iw]*57.3</f>
        <v>-0.16720099999999993</v>
      </c>
      <c r="D8">
        <v>9.8282834347781997E-2</v>
      </c>
      <c r="E8" s="2">
        <v>0.21368534516743501</v>
      </c>
      <c r="F8" s="2">
        <v>13.745889410382899</v>
      </c>
      <c r="G8">
        <v>4.1566379898647403</v>
      </c>
      <c r="H8">
        <f>Tabella24[[#This Row],[X]]/Tabella224[b/2]</f>
        <v>1.015956349621796</v>
      </c>
      <c r="I8">
        <f>Tabella24[[#This Row],[m]]/Tabella224[b/2]</f>
        <v>0.30721640723316634</v>
      </c>
      <c r="J8">
        <f>((0.1124 + 0.1265 * Tabella224[Λ_c/4] + 0.1766 * Tabella224[Λ_c/4]^2)/Tabella24[[#This Row],[r (X/b/2)]]^2) + (0.1024/Tabella24[[#This Row],[r (X/b/2)]]) +2</f>
        <v>2.212781077112667</v>
      </c>
      <c r="K8">
        <f>(0.1124/Tabella24[[#This Row],[r (X/b/2)]]^2) + ( 0.1024/Tabella24[[#This Row],[r (X/b/2)]]) + 2</f>
        <v>2.2096888065451057</v>
      </c>
      <c r="L8">
        <f>Tabella24[[#This Row],[Kε_Λ]]/Tabella24[[#This Row],[Kε_Λ0]]</f>
        <v>1.001399414505066</v>
      </c>
      <c r="M8">
        <f>(Tabella24[[#This Row],[r (X/b/2)]]/(Tabella24[[#This Row],[r (X/b/2)]]^2 + Tabella24[[#This Row],[m (m/b/2)]]^2))* (0.4876/(SQRT(Tabella24[[#This Row],[r (X/b/2)]]^2 + 0.6319 + Tabella24[[#This Row],[m (m/b/2)]]^2)))</f>
        <v>0.33160697458203492</v>
      </c>
      <c r="N8">
        <f>(1+(Tabella24[[#This Row],[r (X/b/2)]]^2/(Tabella24[[#This Row],[r (X/b/2)]]^2+0.7915 + 5.074 * Tabella24[[#This Row],[m (m/b/2)]]^2))^(0.3113))</f>
        <v>1.7789759798761058</v>
      </c>
      <c r="O8">
        <f>(1-(SQRT((Tabella24[[#This Row],[m (m/b/2)]]^2)/(1+Tabella24[[#This Row],[m (m/b/2)]]^2))))</f>
        <v>0.70632975131188802</v>
      </c>
      <c r="P8">
        <f>Tabella24[[#This Row],[dε/dα_k]]*(Tabella24[[#This Row],[dε/dα_1]]+Tabella24[[#This Row],[dε/dα_2]]*Tabella24[[#This Row],[dε/dα_3]])*(Tabella24[[#This Row],[CL_α]]*57.3/(3.14*Tabella224[AR]))</f>
        <v>0.23769520799969651</v>
      </c>
      <c r="Q8">
        <f>Tabella24[[#This Row],[dε/dα]]*Tabella24[[#This Row],[α_abs]]</f>
        <v>0.23769520799969651</v>
      </c>
    </row>
    <row r="9" spans="1:17" x14ac:dyDescent="0.45">
      <c r="A9">
        <f t="shared" ref="A9:A24" si="0">A8+1</f>
        <v>2</v>
      </c>
      <c r="B9">
        <f>Tabella3[[#This Row],[α_abs]]+Tabella224[α0_w]*57.3-Tabella224[iw]*57.3</f>
        <v>-0.66846099999999997</v>
      </c>
      <c r="C9">
        <f>Tabella3[[#This Row],[α_b]]+Tabella224[iw]*57.3</f>
        <v>0.83279900000000007</v>
      </c>
      <c r="D9">
        <v>9.8282834347781997E-2</v>
      </c>
      <c r="E9">
        <v>0.31196817951521699</v>
      </c>
      <c r="F9">
        <v>13.797222731719399</v>
      </c>
      <c r="G9">
        <v>4.0014437301949703</v>
      </c>
      <c r="H9">
        <f>Tabella24[[#This Row],[X]]/Tabella224[b/2]</f>
        <v>1.0197503866754916</v>
      </c>
      <c r="I9">
        <f>Tabella24[[#This Row],[m]]/Tabella224[b/2]</f>
        <v>0.29574602588285076</v>
      </c>
      <c r="J9">
        <f>((0.1124 + 0.1265 * Tabella224[Λ_c/4] + 0.1766 * Tabella224[Λ_c/4]^2)/Tabella24[[#This Row],[r (X/b/2)]]^2) + (0.1024/Tabella24[[#This Row],[r (X/b/2)]]) +2</f>
        <v>2.2115743012197755</v>
      </c>
      <c r="K9">
        <f>(0.1124/Tabella24[[#This Row],[r (X/b/2)]]^2) + ( 0.1024/Tabella24[[#This Row],[r (X/b/2)]]) + 2</f>
        <v>2.208504997770719</v>
      </c>
      <c r="L9">
        <f>Tabella24[[#This Row],[Kε_Λ]]/Tabella24[[#This Row],[Kε_Λ0]]</f>
        <v>1.0013897652267731</v>
      </c>
      <c r="M9">
        <f>(Tabella24[[#This Row],[r (X/b/2)]]/(Tabella24[[#This Row],[r (X/b/2)]]^2 + Tabella24[[#This Row],[m (m/b/2)]]^2))* (0.4876/(SQRT(Tabella24[[#This Row],[r (X/b/2)]]^2 + 0.6319 + Tabella24[[#This Row],[m (m/b/2)]]^2)))</f>
        <v>0.33253065535569154</v>
      </c>
      <c r="N9">
        <f>(1+(Tabella24[[#This Row],[r (X/b/2)]]^2/(Tabella24[[#This Row],[r (X/b/2)]]^2+0.7915 + 5.074 * Tabella24[[#This Row],[m (m/b/2)]]^2))^(0.3113))</f>
        <v>1.7836977083445222</v>
      </c>
      <c r="O9">
        <f>(1-(SQRT((Tabella24[[#This Row],[m (m/b/2)]]^2)/(1+Tabella24[[#This Row],[m (m/b/2)]]^2))))</f>
        <v>0.71639679710965742</v>
      </c>
      <c r="P9">
        <f>Tabella24[[#This Row],[dε/dα_k]]*(Tabella24[[#This Row],[dε/dα_1]]+Tabella24[[#This Row],[dε/dα_2]]*Tabella24[[#This Row],[dε/dα_3]])*(Tabella24[[#This Row],[CL_α]]*57.3/(3.14*Tabella224[AR]))</f>
        <v>0.24101781007506587</v>
      </c>
      <c r="Q9">
        <f>Tabella24[[#This Row],[dε/dα]]*Tabella24[[#This Row],[α_abs]]</f>
        <v>0.48203562015013174</v>
      </c>
    </row>
    <row r="10" spans="1:17" x14ac:dyDescent="0.45">
      <c r="A10">
        <f t="shared" si="0"/>
        <v>3</v>
      </c>
      <c r="B10">
        <f>Tabella3[[#This Row],[α_abs]]+Tabella224[α0_w]*57.3-Tabella224[iw]*57.3</f>
        <v>0.33153900000000003</v>
      </c>
      <c r="C10">
        <f>Tabella3[[#This Row],[α_b]]+Tabella224[iw]*57.3</f>
        <v>1.8327990000000001</v>
      </c>
      <c r="D10">
        <v>9.8282834347781997E-2</v>
      </c>
      <c r="E10">
        <v>0.410251013862999</v>
      </c>
      <c r="F10">
        <v>13.8457845025516</v>
      </c>
      <c r="G10">
        <v>3.8469638352084101</v>
      </c>
      <c r="H10">
        <f>Tabella24[[#This Row],[X]]/Tabella224[b/2]</f>
        <v>1.0233395789025574</v>
      </c>
      <c r="I10">
        <f>Tabella24[[#This Row],[m]]/Tabella224[b/2]</f>
        <v>0.28432844310483446</v>
      </c>
      <c r="J10">
        <f>((0.1124 + 0.1265 * Tabella224[Λ_c/4] + 0.1766 * Tabella224[Λ_c/4]^2)/Tabella24[[#This Row],[r (X/b/2)]]^2) + (0.1024/Tabella24[[#This Row],[r (X/b/2)]]) +2</f>
        <v>2.2104437406090698</v>
      </c>
      <c r="K10">
        <f>(0.1124/Tabella24[[#This Row],[r (X/b/2)]]^2) + ( 0.1024/Tabella24[[#This Row],[r (X/b/2)]]) + 2</f>
        <v>2.2073959295391989</v>
      </c>
      <c r="L10">
        <f>Tabella24[[#This Row],[Kε_Λ]]/Tabella24[[#This Row],[Kε_Λ0]]</f>
        <v>1.0013807269593484</v>
      </c>
      <c r="M10">
        <f>(Tabella24[[#This Row],[r (X/b/2)]]/(Tabella24[[#This Row],[r (X/b/2)]]^2 + Tabella24[[#This Row],[m (m/b/2)]]^2))* (0.4876/(SQRT(Tabella24[[#This Row],[r (X/b/2)]]^2 + 0.6319 + Tabella24[[#This Row],[m (m/b/2)]]^2)))</f>
        <v>0.33342375348083841</v>
      </c>
      <c r="N10">
        <f>(1+(Tabella24[[#This Row],[r (X/b/2)]]^2/(Tabella24[[#This Row],[r (X/b/2)]]^2+0.7915 + 5.074 * Tabella24[[#This Row],[m (m/b/2)]]^2))^(0.3113))</f>
        <v>1.7882587989490237</v>
      </c>
      <c r="O10">
        <f>(1-(SQRT((Tabella24[[#This Row],[m (m/b/2)]]^2)/(1+Tabella24[[#This Row],[m (m/b/2)]]^2))))</f>
        <v>0.72651150113990948</v>
      </c>
      <c r="P10">
        <f>Tabella24[[#This Row],[dε/dα_k]]*(Tabella24[[#This Row],[dε/dα_1]]+Tabella24[[#This Row],[dε/dα_2]]*Tabella24[[#This Row],[dε/dα_3]])*(Tabella24[[#This Row],[CL_α]]*57.3/(3.14*Tabella224[AR]))</f>
        <v>0.24434543801554956</v>
      </c>
      <c r="Q10">
        <f>Tabella24[[#This Row],[dε/dα]]*Tabella24[[#This Row],[α_abs]]</f>
        <v>0.73303631404664871</v>
      </c>
    </row>
    <row r="11" spans="1:17" x14ac:dyDescent="0.45">
      <c r="A11">
        <f t="shared" si="0"/>
        <v>4</v>
      </c>
      <c r="B11">
        <f>Tabella3[[#This Row],[α_abs]]+Tabella224[α0_w]*57.3-Tabella224[iw]*57.3</f>
        <v>1.331539</v>
      </c>
      <c r="C11">
        <f>Tabella3[[#This Row],[α_b]]+Tabella224[iw]*57.3</f>
        <v>2.8327990000000001</v>
      </c>
      <c r="D11">
        <v>9.8282834347781997E-2</v>
      </c>
      <c r="E11">
        <v>0.50853384821078196</v>
      </c>
      <c r="F11">
        <v>13.8916290583707</v>
      </c>
      <c r="G11">
        <v>3.6932413891250002</v>
      </c>
      <c r="H11">
        <f>Tabella24[[#This Row],[X]]/Tabella224[b/2]</f>
        <v>1.0267279422299114</v>
      </c>
      <c r="I11">
        <f>Tabella24[[#This Row],[m]]/Tabella224[b/2]</f>
        <v>0.27296684324648929</v>
      </c>
      <c r="J11">
        <f>((0.1124 + 0.1265 * Tabella224[Λ_c/4] + 0.1766 * Tabella224[Λ_c/4]^2)/Tabella24[[#This Row],[r (X/b/2)]]^2) + (0.1024/Tabella24[[#This Row],[r (X/b/2)]]) +2</f>
        <v>2.2093861766885432</v>
      </c>
      <c r="K11">
        <f>(0.1124/Tabella24[[#This Row],[r (X/b/2)]]^2) + ( 0.1024/Tabella24[[#This Row],[r (X/b/2)]]) + 2</f>
        <v>2.2063584489344619</v>
      </c>
      <c r="L11">
        <f>Tabella24[[#This Row],[Kε_Λ]]/Tabella24[[#This Row],[Kε_Λ0]]</f>
        <v>1.0013722737370909</v>
      </c>
      <c r="M11">
        <f>(Tabella24[[#This Row],[r (X/b/2)]]/(Tabella24[[#This Row],[r (X/b/2)]]^2 + Tabella24[[#This Row],[m (m/b/2)]]^2))* (0.4876/(SQRT(Tabella24[[#This Row],[r (X/b/2)]]^2 + 0.6319 + Tabella24[[#This Row],[m (m/b/2)]]^2)))</f>
        <v>0.33428722109076525</v>
      </c>
      <c r="N11">
        <f>(1+(Tabella24[[#This Row],[r (X/b/2)]]^2/(Tabella24[[#This Row],[r (X/b/2)]]^2+0.7915 + 5.074 * Tabella24[[#This Row],[m (m/b/2)]]^2))^(0.3113))</f>
        <v>1.7926563739117429</v>
      </c>
      <c r="O11">
        <f>(1-(SQRT((Tabella24[[#This Row],[m (m/b/2)]]^2)/(1+Tabella24[[#This Row],[m (m/b/2)]]^2))))</f>
        <v>0.73666748610261179</v>
      </c>
      <c r="P11">
        <f>Tabella24[[#This Row],[dε/dα_k]]*(Tabella24[[#This Row],[dε/dα_1]]+Tabella24[[#This Row],[dε/dα_2]]*Tabella24[[#This Row],[dε/dα_3]])*(Tabella24[[#This Row],[CL_α]]*57.3/(3.14*Tabella224[AR]))</f>
        <v>0.24767557364722045</v>
      </c>
      <c r="Q11">
        <f>Tabella24[[#This Row],[dε/dα]]*Tabella24[[#This Row],[α_abs]]</f>
        <v>0.99070229458888182</v>
      </c>
    </row>
    <row r="12" spans="1:17" x14ac:dyDescent="0.45">
      <c r="A12">
        <f t="shared" si="0"/>
        <v>5</v>
      </c>
      <c r="B12">
        <f>Tabella3[[#This Row],[α_abs]]+Tabella224[α0_w]*57.3-Tabella224[iw]*57.3</f>
        <v>2.3315390000000003</v>
      </c>
      <c r="C12">
        <f>Tabella3[[#This Row],[α_b]]+Tabella224[iw]*57.3</f>
        <v>3.8327990000000005</v>
      </c>
      <c r="D12">
        <v>9.8282834347781997E-2</v>
      </c>
      <c r="E12">
        <v>0.60681668255856303</v>
      </c>
      <c r="F12">
        <v>13.934811533044799</v>
      </c>
      <c r="G12">
        <v>3.54031591967399</v>
      </c>
      <c r="H12">
        <f>Tabella24[[#This Row],[X]]/Tabella224[b/2]</f>
        <v>1.0299195515923725</v>
      </c>
      <c r="I12">
        <f>Tabella24[[#This Row],[m]]/Tabella224[b/2]</f>
        <v>0.26166414779556468</v>
      </c>
      <c r="J12">
        <f>((0.1124 + 0.1265 * Tabella224[Λ_c/4] + 0.1766 * Tabella224[Λ_c/4]^2)/Tabella24[[#This Row],[r (X/b/2)]]^2) + (0.1024/Tabella24[[#This Row],[r (X/b/2)]]) +2</f>
        <v>2.2083985652707456</v>
      </c>
      <c r="K12">
        <f>(0.1124/Tabella24[[#This Row],[r (X/b/2)]]^2) + ( 0.1024/Tabella24[[#This Row],[r (X/b/2)]]) + 2</f>
        <v>2.2053895736430604</v>
      </c>
      <c r="L12">
        <f>Tabella24[[#This Row],[Kε_Λ]]/Tabella24[[#This Row],[Kε_Λ0]]</f>
        <v>1.0013643809980994</v>
      </c>
      <c r="M12">
        <f>(Tabella24[[#This Row],[r (X/b/2)]]/(Tabella24[[#This Row],[r (X/b/2)]]^2 + Tabella24[[#This Row],[m (m/b/2)]]^2))* (0.4876/(SQRT(Tabella24[[#This Row],[r (X/b/2)]]^2 + 0.6319 + Tabella24[[#This Row],[m (m/b/2)]]^2)))</f>
        <v>0.33512196826487806</v>
      </c>
      <c r="N12">
        <f>(1+(Tabella24[[#This Row],[r (X/b/2)]]^2/(Tabella24[[#This Row],[r (X/b/2)]]^2+0.7915 + 5.074 * Tabella24[[#This Row],[m (m/b/2)]]^2))^(0.3113))</f>
        <v>1.7968878126248142</v>
      </c>
      <c r="O12">
        <f>(1-(SQRT((Tabella24[[#This Row],[m (m/b/2)]]^2)/(1+Tabella24[[#This Row],[m (m/b/2)]]^2))))</f>
        <v>0.74685844952100688</v>
      </c>
      <c r="P12">
        <f>Tabella24[[#This Row],[dε/dα_k]]*(Tabella24[[#This Row],[dε/dα_1]]+Tabella24[[#This Row],[dε/dα_2]]*Tabella24[[#This Row],[dε/dα_3]])*(Tabella24[[#This Row],[CL_α]]*57.3/(3.14*Tabella224[AR]))</f>
        <v>0.25100570085486645</v>
      </c>
      <c r="Q12">
        <f>Tabella24[[#This Row],[dε/dα]]*Tabella24[[#This Row],[α_abs]]</f>
        <v>1.2550285042743323</v>
      </c>
    </row>
    <row r="13" spans="1:17" x14ac:dyDescent="0.45">
      <c r="A13">
        <f t="shared" si="0"/>
        <v>6</v>
      </c>
      <c r="B13">
        <f>Tabella3[[#This Row],[α_abs]]+Tabella224[α0_w]*57.3-Tabella224[iw]*57.3</f>
        <v>3.3315389999999994</v>
      </c>
      <c r="C13">
        <f>Tabella3[[#This Row],[α_b]]+Tabella224[iw]*57.3</f>
        <v>4.8327989999999996</v>
      </c>
      <c r="D13">
        <v>9.8282834347779194E-2</v>
      </c>
      <c r="E13">
        <v>0.70509951690631101</v>
      </c>
      <c r="F13">
        <v>13.9753876574768</v>
      </c>
      <c r="G13">
        <v>3.3882234021856799</v>
      </c>
      <c r="H13">
        <f>Tabella24[[#This Row],[X]]/Tabella224[b/2]</f>
        <v>1.0329185260515004</v>
      </c>
      <c r="I13">
        <f>Tabella24[[#This Row],[m]]/Tabella224[b/2]</f>
        <v>0.25042301568260755</v>
      </c>
      <c r="J13">
        <f>((0.1124 + 0.1265 * Tabella224[Λ_c/4] + 0.1766 * Tabella224[Λ_c/4]^2)/Tabella24[[#This Row],[r (X/b/2)]]^2) + (0.1024/Tabella24[[#This Row],[r (X/b/2)]]) +2</f>
        <v>2.2074780267082947</v>
      </c>
      <c r="K13">
        <f>(0.1124/Tabella24[[#This Row],[r (X/b/2)]]^2) + ( 0.1024/Tabella24[[#This Row],[r (X/b/2)]]) + 2</f>
        <v>2.204486482321292</v>
      </c>
      <c r="L13">
        <f>Tabella24[[#This Row],[Kε_Λ]]/Tabella24[[#This Row],[Kε_Λ0]]</f>
        <v>1.0013570255072977</v>
      </c>
      <c r="M13">
        <f>(Tabella24[[#This Row],[r (X/b/2)]]/(Tabella24[[#This Row],[r (X/b/2)]]^2 + Tabella24[[#This Row],[m (m/b/2)]]^2))* (0.4876/(SQRT(Tabella24[[#This Row],[r (X/b/2)]]^2 + 0.6319 + Tabella24[[#This Row],[m (m/b/2)]]^2)))</f>
        <v>0.33592886440664349</v>
      </c>
      <c r="N13">
        <f>(1+(Tabella24[[#This Row],[r (X/b/2)]]^2/(Tabella24[[#This Row],[r (X/b/2)]]^2+0.7915 + 5.074 * Tabella24[[#This Row],[m (m/b/2)]]^2))^(0.3113))</f>
        <v>1.800950761633858</v>
      </c>
      <c r="O13">
        <f>(1-(SQRT((Tabella24[[#This Row],[m (m/b/2)]]^2)/(1+Tabella24[[#This Row],[m (m/b/2)]]^2))))</f>
        <v>0.75707818748401379</v>
      </c>
      <c r="P13">
        <f>Tabella24[[#This Row],[dε/dα_k]]*(Tabella24[[#This Row],[dε/dα_1]]+Tabella24[[#This Row],[dε/dα_2]]*Tabella24[[#This Row],[dε/dα_3]])*(Tabella24[[#This Row],[CL_α]]*57.3/(3.14*Tabella224[AR]))</f>
        <v>0.25433331691224792</v>
      </c>
      <c r="Q13">
        <f>Tabella24[[#This Row],[dε/dα]]*Tabella24[[#This Row],[α_abs]]</f>
        <v>1.5259999014734875</v>
      </c>
    </row>
    <row r="14" spans="1:17" x14ac:dyDescent="0.45">
      <c r="A14">
        <f t="shared" si="0"/>
        <v>7</v>
      </c>
      <c r="B14">
        <f>Tabella3[[#This Row],[α_abs]]+Tabella224[α0_w]*57.3-Tabella224[iw]*57.3</f>
        <v>4.3315389999999994</v>
      </c>
      <c r="C14">
        <f>Tabella3[[#This Row],[α_b]]+Tabella224[iw]*57.3</f>
        <v>5.8327989999999996</v>
      </c>
      <c r="D14">
        <v>9.8282834347227094E-2</v>
      </c>
      <c r="E14">
        <v>0.80338235124850899</v>
      </c>
      <c r="F14">
        <v>14.0134135612502</v>
      </c>
      <c r="G14">
        <v>3.2369962841600901</v>
      </c>
      <c r="H14">
        <f>Tabella24[[#This Row],[X]]/Tabella224[b/2]</f>
        <v>1.0357290141352697</v>
      </c>
      <c r="I14">
        <f>Tabella24[[#This Row],[m]]/Tabella224[b/2]</f>
        <v>0.23924584509682856</v>
      </c>
      <c r="J14">
        <f>((0.1124 + 0.1265 * Tabella224[Λ_c/4] + 0.1766 * Tabella224[Λ_c/4]^2)/Tabella24[[#This Row],[r (X/b/2)]]^2) + (0.1024/Tabella24[[#This Row],[r (X/b/2)]]) +2</f>
        <v>2.2066218368835759</v>
      </c>
      <c r="K14">
        <f>(0.1124/Tabella24[[#This Row],[r (X/b/2)]]^2) + ( 0.1024/Tabella24[[#This Row],[r (X/b/2)]]) + 2</f>
        <v>2.2036465057964585</v>
      </c>
      <c r="L14">
        <f>Tabella24[[#This Row],[Kε_Λ]]/Tabella24[[#This Row],[Kε_Λ0]]</f>
        <v>1.0013501852857485</v>
      </c>
      <c r="M14">
        <f>(Tabella24[[#This Row],[r (X/b/2)]]/(Tabella24[[#This Row],[r (X/b/2)]]^2 + Tabella24[[#This Row],[m (m/b/2)]]^2))* (0.4876/(SQRT(Tabella24[[#This Row],[r (X/b/2)]]^2 + 0.6319 + Tabella24[[#This Row],[m (m/b/2)]]^2)))</f>
        <v>0.33670873956986869</v>
      </c>
      <c r="N14">
        <f>(1+(Tabella24[[#This Row],[r (X/b/2)]]^2/(Tabella24[[#This Row],[r (X/b/2)]]^2+0.7915 + 5.074 * Tabella24[[#This Row],[m (m/b/2)]]^2))^(0.3113))</f>
        <v>1.8048431423654554</v>
      </c>
      <c r="O14">
        <f>(1-(SQRT((Tabella24[[#This Row],[m (m/b/2)]]^2)/(1+Tabella24[[#This Row],[m (m/b/2)]]^2))))</f>
        <v>0.76732061670090257</v>
      </c>
      <c r="P14">
        <f>Tabella24[[#This Row],[dε/dα_k]]*(Tabella24[[#This Row],[dε/dα_1]]+Tabella24[[#This Row],[dε/dα_2]]*Tabella24[[#This Row],[dε/dα_3]])*(Tabella24[[#This Row],[CL_α]]*57.3/(3.14*Tabella224[AR]))</f>
        <v>0.25765594330296093</v>
      </c>
      <c r="Q14">
        <f>Tabella24[[#This Row],[dε/dα]]*Tabella24[[#This Row],[α_abs]]</f>
        <v>1.8035916031207266</v>
      </c>
    </row>
    <row r="15" spans="1:17" x14ac:dyDescent="0.45">
      <c r="A15">
        <f t="shared" si="0"/>
        <v>8</v>
      </c>
      <c r="B15">
        <f>Tabella3[[#This Row],[α_abs]]+Tabella224[α0_w]*57.3-Tabella224[iw]*57.3</f>
        <v>5.3315389999999994</v>
      </c>
      <c r="C15">
        <f>Tabella3[[#This Row],[α_b]]+Tabella224[iw]*57.3</f>
        <v>6.8327989999999996</v>
      </c>
      <c r="D15">
        <v>9.8282834239803205E-2</v>
      </c>
      <c r="E15">
        <v>0.90166518473535795</v>
      </c>
      <c r="F15">
        <v>14.0488295971388</v>
      </c>
      <c r="G15">
        <v>3.0871771656852101</v>
      </c>
      <c r="H15">
        <f>Tabella24[[#This Row],[X]]/Tabella224[b/2]</f>
        <v>1.038346607327332</v>
      </c>
      <c r="I15">
        <f>Tabella24[[#This Row],[m]]/Tabella224[b/2]</f>
        <v>0.22817273951849298</v>
      </c>
      <c r="J15">
        <f>((0.1124 + 0.1265 * Tabella224[Λ_c/4] + 0.1766 * Tabella224[Λ_c/4]^2)/Tabella24[[#This Row],[r (X/b/2)]]^2) + (0.1024/Tabella24[[#This Row],[r (X/b/2)]]) +2</f>
        <v>2.2058300032834297</v>
      </c>
      <c r="K15">
        <f>(0.1124/Tabella24[[#This Row],[r (X/b/2)]]^2) + ( 0.1024/Tabella24[[#This Row],[r (X/b/2)]]) + 2</f>
        <v>2.2028696544567707</v>
      </c>
      <c r="L15">
        <f>Tabella24[[#This Row],[Kε_Λ]]/Tabella24[[#This Row],[Kε_Λ0]]</f>
        <v>1.0013438601874014</v>
      </c>
      <c r="M15">
        <f>(Tabella24[[#This Row],[r (X/b/2)]]/(Tabella24[[#This Row],[r (X/b/2)]]^2 + Tabella24[[#This Row],[m (m/b/2)]]^2))* (0.4876/(SQRT(Tabella24[[#This Row],[r (X/b/2)]]^2 + 0.6319 + Tabella24[[#This Row],[m (m/b/2)]]^2)))</f>
        <v>0.33745978875422239</v>
      </c>
      <c r="N15">
        <f>(1+(Tabella24[[#This Row],[r (X/b/2)]]^2/(Tabella24[[#This Row],[r (X/b/2)]]^2+0.7915 + 5.074 * Tabella24[[#This Row],[m (m/b/2)]]^2))^(0.3113))</f>
        <v>1.8085507324027958</v>
      </c>
      <c r="O15">
        <f>(1-(SQRT((Tabella24[[#This Row],[m (m/b/2)]]^2)/(1+Tabella24[[#This Row],[m (m/b/2)]]^2))))</f>
        <v>0.77754461429027499</v>
      </c>
      <c r="P15">
        <f>Tabella24[[#This Row],[dε/dα_k]]*(Tabella24[[#This Row],[dε/dα_1]]+Tabella24[[#This Row],[dε/dα_2]]*Tabella24[[#This Row],[dε/dα_3]])*(Tabella24[[#This Row],[CL_α]]*57.3/(3.14*Tabella224[AR]))</f>
        <v>0.26095978436525669</v>
      </c>
      <c r="Q15">
        <f>Tabella24[[#This Row],[dε/dα]]*Tabella24[[#This Row],[α_abs]]</f>
        <v>2.0876782749220535</v>
      </c>
    </row>
    <row r="16" spans="1:17" x14ac:dyDescent="0.45">
      <c r="A16">
        <f t="shared" si="0"/>
        <v>9</v>
      </c>
      <c r="B16">
        <f>Tabella3[[#This Row],[α_abs]]+Tabella224[α0_w]*57.3-Tabella224[iw]*57.3</f>
        <v>6.3315389999999994</v>
      </c>
      <c r="C16">
        <f>Tabella3[[#This Row],[α_b]]+Tabella224[iw]*57.3</f>
        <v>7.8327989999999996</v>
      </c>
      <c r="D16">
        <v>9.8282813863925997E-2</v>
      </c>
      <c r="E16">
        <v>0.99994789521852601</v>
      </c>
      <c r="F16">
        <v>14.0804149076745</v>
      </c>
      <c r="G16">
        <v>2.9448243312074101</v>
      </c>
      <c r="H16">
        <f>Tabella24[[#This Row],[X]]/Tabella224[b/2]</f>
        <v>1.0406810722597561</v>
      </c>
      <c r="I16">
        <f>Tabella24[[#This Row],[m]]/Tabella224[b/2]</f>
        <v>0.21765146572116853</v>
      </c>
      <c r="J16">
        <f>((0.1124 + 0.1265 * Tabella224[Λ_c/4] + 0.1766 * Tabella224[Λ_c/4]^2)/Tabella24[[#This Row],[r (X/b/2)]]^2) + (0.1024/Tabella24[[#This Row],[r (X/b/2)]]) +2</f>
        <v>2.2051283249114042</v>
      </c>
      <c r="K16">
        <f>(0.1124/Tabella24[[#This Row],[r (X/b/2)]]^2) + ( 0.1024/Tabella24[[#This Row],[r (X/b/2)]]) + 2</f>
        <v>2.2021812425493512</v>
      </c>
      <c r="L16">
        <f>Tabella24[[#This Row],[Kε_Λ]]/Tabella24[[#This Row],[Kε_Λ0]]</f>
        <v>1.0013382560459199</v>
      </c>
      <c r="M16">
        <f>(Tabella24[[#This Row],[r (X/b/2)]]/(Tabella24[[#This Row],[r (X/b/2)]]^2 + Tabella24[[#This Row],[m (m/b/2)]]^2))* (0.4876/(SQRT(Tabella24[[#This Row],[r (X/b/2)]]^2 + 0.6319 + Tabella24[[#This Row],[m (m/b/2)]]^2)))</f>
        <v>0.3381541608313417</v>
      </c>
      <c r="N16">
        <f>(1+(Tabella24[[#This Row],[r (X/b/2)]]^2/(Tabella24[[#This Row],[r (X/b/2)]]^2+0.7915 + 5.074 * Tabella24[[#This Row],[m (m/b/2)]]^2))^(0.3113))</f>
        <v>1.8119332091116302</v>
      </c>
      <c r="O16">
        <f>(1-(SQRT((Tabella24[[#This Row],[m (m/b/2)]]^2)/(1+Tabella24[[#This Row],[m (m/b/2)]]^2))))</f>
        <v>0.78732762397636136</v>
      </c>
      <c r="P16">
        <f>Tabella24[[#This Row],[dε/dα_k]]*(Tabella24[[#This Row],[dε/dα_1]]+Tabella24[[#This Row],[dε/dα_2]]*Tabella24[[#This Row],[dε/dα_3]])*(Tabella24[[#This Row],[CL_α]]*57.3/(3.14*Tabella224[AR]))</f>
        <v>0.26410867011755362</v>
      </c>
      <c r="Q16">
        <f>Tabella24[[#This Row],[dε/dα]]*Tabella24[[#This Row],[α_abs]]</f>
        <v>2.3769780310579827</v>
      </c>
    </row>
    <row r="17" spans="1:17" x14ac:dyDescent="0.45">
      <c r="A17">
        <f t="shared" si="0"/>
        <v>10</v>
      </c>
      <c r="B17">
        <f>Tabella3[[#This Row],[α_abs]]+Tabella224[α0_w]*57.3-Tabella224[iw]*57.3</f>
        <v>7.3315389999999994</v>
      </c>
      <c r="C17">
        <f>Tabella3[[#This Row],[α_b]]+Tabella224[iw]*57.3</f>
        <v>8.8327989999999996</v>
      </c>
      <c r="D17">
        <v>9.8279039539641996E-2</v>
      </c>
      <c r="E17">
        <v>1.0984346730599399</v>
      </c>
      <c r="F17">
        <v>14.1156952451298</v>
      </c>
      <c r="G17">
        <v>2.77397755795876</v>
      </c>
      <c r="H17">
        <f>Tabella24[[#This Row],[X]]/Tabella224[b/2]</f>
        <v>1.0432886360036808</v>
      </c>
      <c r="I17">
        <f>Tabella24[[#This Row],[m]]/Tabella224[b/2]</f>
        <v>0.20502420975304952</v>
      </c>
      <c r="J17">
        <f>((0.1124 + 0.1265 * Tabella224[Λ_c/4] + 0.1766 * Tabella224[Λ_c/4]^2)/Tabella24[[#This Row],[r (X/b/2)]]^2) + (0.1024/Tabella24[[#This Row],[r (X/b/2)]]) +2</f>
        <v>2.2043495394148307</v>
      </c>
      <c r="K17">
        <f>(0.1124/Tabella24[[#This Row],[r (X/b/2)]]^2) + ( 0.1024/Tabella24[[#This Row],[r (X/b/2)]]) + 2</f>
        <v>2.2014171703380456</v>
      </c>
      <c r="L17">
        <f>Tabella24[[#This Row],[Kε_Λ]]/Tabella24[[#This Row],[Kε_Λ0]]</f>
        <v>1.0013320369788588</v>
      </c>
      <c r="M17">
        <f>(Tabella24[[#This Row],[r (X/b/2)]]/(Tabella24[[#This Row],[r (X/b/2)]]^2 + Tabella24[[#This Row],[m (m/b/2)]]^2))* (0.4876/(SQRT(Tabella24[[#This Row],[r (X/b/2)]]^2 + 0.6319 + Tabella24[[#This Row],[m (m/b/2)]]^2)))</f>
        <v>0.33896309404902553</v>
      </c>
      <c r="N17">
        <f>(1+(Tabella24[[#This Row],[r (X/b/2)]]^2/(Tabella24[[#This Row],[r (X/b/2)]]^2+0.7915 + 5.074 * Tabella24[[#This Row],[m (m/b/2)]]^2))^(0.3113))</f>
        <v>1.8158078831244562</v>
      </c>
      <c r="O17">
        <f>(1-(SQRT((Tabella24[[#This Row],[m (m/b/2)]]^2)/(1+Tabella24[[#This Row],[m (m/b/2)]]^2))))</f>
        <v>0.79915361990014755</v>
      </c>
      <c r="P17">
        <f>Tabella24[[#This Row],[dε/dα_k]]*(Tabella24[[#This Row],[dε/dα_1]]+Tabella24[[#This Row],[dε/dα_2]]*Tabella24[[#This Row],[dε/dα_3]])*(Tabella24[[#This Row],[CL_α]]*57.3/(3.14*Tabella224[AR]))</f>
        <v>0.26788806944964777</v>
      </c>
      <c r="Q17">
        <f>Tabella24[[#This Row],[dε/dα]]*Tabella24[[#This Row],[α_abs]]</f>
        <v>2.6788806944964776</v>
      </c>
    </row>
    <row r="18" spans="1:17" x14ac:dyDescent="0.45">
      <c r="A18">
        <f t="shared" si="0"/>
        <v>11</v>
      </c>
      <c r="B18">
        <f>Tabella3[[#This Row],[α_abs]]+Tabella224[α0_w]*57.3-Tabella224[iw]*57.3</f>
        <v>8.3315389999999994</v>
      </c>
      <c r="C18">
        <f>Tabella3[[#This Row],[α_b]]+Tabella224[iw]*57.3</f>
        <v>9.8327989999999996</v>
      </c>
      <c r="D18">
        <v>9.9188004814052794E-2</v>
      </c>
      <c r="E18">
        <v>1.19784355761298</v>
      </c>
      <c r="F18">
        <v>14.1549967368558</v>
      </c>
      <c r="G18">
        <v>2.56495212438475</v>
      </c>
      <c r="H18">
        <f>Tabella24[[#This Row],[X]]/Tabella224[b/2]</f>
        <v>1.0461934025761863</v>
      </c>
      <c r="I18">
        <f>Tabella24[[#This Row],[m]]/Tabella224[b/2]</f>
        <v>0.18957517549037325</v>
      </c>
      <c r="J18">
        <f>((0.1124 + 0.1265 * Tabella224[Λ_c/4] + 0.1766 * Tabella224[Λ_c/4]^2)/Tabella24[[#This Row],[r (X/b/2)]]^2) + (0.1024/Tabella24[[#This Row],[r (X/b/2)]]) +2</f>
        <v>2.2034881186858044</v>
      </c>
      <c r="K18">
        <f>(0.1124/Tabella24[[#This Row],[r (X/b/2)]]^2) + ( 0.1024/Tabella24[[#This Row],[r (X/b/2)]]) + 2</f>
        <v>2.2005720105082114</v>
      </c>
      <c r="L18">
        <f>Tabella24[[#This Row],[Kε_Λ]]/Tabella24[[#This Row],[Kε_Λ0]]</f>
        <v>1.0013251591693741</v>
      </c>
      <c r="M18">
        <f>(Tabella24[[#This Row],[r (X/b/2)]]/(Tabella24[[#This Row],[r (X/b/2)]]^2 + Tabella24[[#This Row],[m (m/b/2)]]^2))* (0.4876/(SQRT(Tabella24[[#This Row],[r (X/b/2)]]^2 + 0.6319 + Tabella24[[#This Row],[m (m/b/2)]]^2)))</f>
        <v>0.33991746056362732</v>
      </c>
      <c r="N18">
        <f>(1+(Tabella24[[#This Row],[r (X/b/2)]]^2/(Tabella24[[#This Row],[r (X/b/2)]]^2+0.7915 + 5.074 * Tabella24[[#This Row],[m (m/b/2)]]^2))^(0.3113))</f>
        <v>1.8202667319053294</v>
      </c>
      <c r="O18">
        <f>(1-(SQRT((Tabella24[[#This Row],[m (m/b/2)]]^2)/(1+Tabella24[[#This Row],[m (m/b/2)]]^2))))</f>
        <v>0.81374221753634024</v>
      </c>
      <c r="P18">
        <f>Tabella24[[#This Row],[dε/dα_k]]*(Tabella24[[#This Row],[dε/dα_1]]+Tabella24[[#This Row],[dε/dα_2]]*Tabella24[[#This Row],[dε/dα_3]])*(Tabella24[[#This Row],[CL_α]]*57.3/(3.14*Tabella224[AR]))</f>
        <v>0.27505694766978228</v>
      </c>
      <c r="Q18">
        <f>Tabella24[[#This Row],[dε/dα]]*Tabella24[[#This Row],[α_abs]]</f>
        <v>3.025626424367605</v>
      </c>
    </row>
    <row r="19" spans="1:17" x14ac:dyDescent="0.45">
      <c r="A19">
        <f t="shared" si="0"/>
        <v>12</v>
      </c>
      <c r="B19">
        <f>Tabella3[[#This Row],[α_abs]]+Tabella224[α0_w]*57.3-Tabella224[iw]*57.3</f>
        <v>9.3315389999999994</v>
      </c>
      <c r="C19">
        <f>Tabella3[[#This Row],[α_b]]+Tabella224[iw]*57.3</f>
        <v>10.832799</v>
      </c>
      <c r="D19">
        <v>9.8887374946945397E-2</v>
      </c>
      <c r="E19">
        <v>1.29450022632146</v>
      </c>
      <c r="F19">
        <v>14.1976370788321</v>
      </c>
      <c r="G19">
        <v>2.3073371737589401</v>
      </c>
      <c r="H19">
        <f>Tabella24[[#This Row],[X]]/Tabella224[b/2]</f>
        <v>1.0493449430031117</v>
      </c>
      <c r="I19">
        <f>Tabella24[[#This Row],[m]]/Tabella224[b/2]</f>
        <v>0.17053489828225721</v>
      </c>
      <c r="J19">
        <f>((0.1124 + 0.1265 * Tabella224[Λ_c/4] + 0.1766 * Tabella224[Λ_c/4]^2)/Tabella24[[#This Row],[r (X/b/2)]]^2) + (0.1024/Tabella24[[#This Row],[r (X/b/2)]]) +2</f>
        <v>2.2025607459156227</v>
      </c>
      <c r="K19">
        <f>(0.1124/Tabella24[[#This Row],[r (X/b/2)]]^2) + ( 0.1024/Tabella24[[#This Row],[r (X/b/2)]]) + 2</f>
        <v>2.1996621275676072</v>
      </c>
      <c r="L19">
        <f>Tabella24[[#This Row],[Kε_Λ]]/Tabella24[[#This Row],[Kε_Λ0]]</f>
        <v>1.0013177561734088</v>
      </c>
      <c r="M19">
        <f>(Tabella24[[#This Row],[r (X/b/2)]]/(Tabella24[[#This Row],[r (X/b/2)]]^2 + Tabella24[[#This Row],[m (m/b/2)]]^2))* (0.4876/(SQRT(Tabella24[[#This Row],[r (X/b/2)]]^2 + 0.6319 + Tabella24[[#This Row],[m (m/b/2)]]^2)))</f>
        <v>0.34104199462163204</v>
      </c>
      <c r="N19">
        <f>(1+(Tabella24[[#This Row],[r (X/b/2)]]^2/(Tabella24[[#This Row],[r (X/b/2)]]^2+0.7915 + 5.074 * Tabella24[[#This Row],[m (m/b/2)]]^2))^(0.3113))</f>
        <v>1.8253219792332911</v>
      </c>
      <c r="O19">
        <f>(1-(SQRT((Tabella24[[#This Row],[m (m/b/2)]]^2)/(1+Tabella24[[#This Row],[m (m/b/2)]]^2))))</f>
        <v>0.83189205332185356</v>
      </c>
      <c r="P19">
        <f>Tabella24[[#This Row],[dε/dα_k]]*(Tabella24[[#This Row],[dε/dα_1]]+Tabella24[[#This Row],[dε/dα_2]]*Tabella24[[#This Row],[dε/dα_3]])*(Tabella24[[#This Row],[CL_α]]*57.3/(3.14*Tabella224[AR]))</f>
        <v>0.27999848151476864</v>
      </c>
      <c r="Q19">
        <f>Tabella24[[#This Row],[dε/dα]]*Tabella24[[#This Row],[α_abs]]</f>
        <v>3.3599817781772234</v>
      </c>
    </row>
    <row r="20" spans="1:17" x14ac:dyDescent="0.45">
      <c r="A20">
        <f t="shared" si="0"/>
        <v>13</v>
      </c>
      <c r="B20">
        <f>Tabella3[[#This Row],[α_abs]]+Tabella224[α0_w]*57.3-Tabella224[iw]*57.3</f>
        <v>10.331538999999999</v>
      </c>
      <c r="C20">
        <f>Tabella3[[#This Row],[α_b]]+Tabella224[iw]*57.3</f>
        <v>11.832799</v>
      </c>
      <c r="D20">
        <v>9.4047767782505606E-2</v>
      </c>
      <c r="E20">
        <v>1.38385770413853</v>
      </c>
      <c r="F20">
        <v>14.241623411473</v>
      </c>
      <c r="G20">
        <v>1.9888920790517799</v>
      </c>
      <c r="H20">
        <f>Tabella24[[#This Row],[X]]/Tabella224[b/2]</f>
        <v>1.0525959653712491</v>
      </c>
      <c r="I20">
        <f>Tabella24[[#This Row],[m]]/Tabella224[b/2]</f>
        <v>0.14699867546576348</v>
      </c>
      <c r="J20">
        <f>((0.1124 + 0.1265 * Tabella224[Λ_c/4] + 0.1766 * Tabella224[Λ_c/4]^2)/Tabella24[[#This Row],[r (X/b/2)]]^2) + (0.1024/Tabella24[[#This Row],[r (X/b/2)]]) +2</f>
        <v>2.201611896604001</v>
      </c>
      <c r="K20">
        <f>(0.1124/Tabella24[[#This Row],[r (X/b/2)]]^2) + ( 0.1024/Tabella24[[#This Row],[r (X/b/2)]]) + 2</f>
        <v>2.1987311558098437</v>
      </c>
      <c r="L20">
        <f>Tabella24[[#This Row],[Kε_Λ]]/Tabella24[[#This Row],[Kε_Λ0]]</f>
        <v>1.0013101832784537</v>
      </c>
      <c r="M20">
        <f>(Tabella24[[#This Row],[r (X/b/2)]]/(Tabella24[[#This Row],[r (X/b/2)]]^2 + Tabella24[[#This Row],[m (m/b/2)]]^2))* (0.4876/(SQRT(Tabella24[[#This Row],[r (X/b/2)]]^2 + 0.6319 + Tabella24[[#This Row],[m (m/b/2)]]^2)))</f>
        <v>0.34235463241395681</v>
      </c>
      <c r="N20">
        <f>(1+(Tabella24[[#This Row],[r (X/b/2)]]^2/(Tabella24[[#This Row],[r (X/b/2)]]^2+0.7915 + 5.074 * Tabella24[[#This Row],[m (m/b/2)]]^2))^(0.3113))</f>
        <v>1.8308750681761583</v>
      </c>
      <c r="O20">
        <f>(1-(SQRT((Tabella24[[#This Row],[m (m/b/2)]]^2)/(1+Tabella24[[#This Row],[m (m/b/2)]]^2))))</f>
        <v>0.85456425860185714</v>
      </c>
      <c r="P20">
        <f>Tabella24[[#This Row],[dε/dα_k]]*(Tabella24[[#This Row],[dε/dα_1]]+Tabella24[[#This Row],[dε/dα_2]]*Tabella24[[#This Row],[dε/dα_3]])*(Tabella24[[#This Row],[CL_α]]*57.3/(3.14*Tabella224[AR]))</f>
        <v>0.27308717441307639</v>
      </c>
      <c r="Q20">
        <f>Tabella24[[#This Row],[dε/dα]]*Tabella24[[#This Row],[α_abs]]</f>
        <v>3.550133267369993</v>
      </c>
    </row>
    <row r="21" spans="1:17" x14ac:dyDescent="0.45">
      <c r="A21">
        <f t="shared" si="0"/>
        <v>14</v>
      </c>
      <c r="B21">
        <f>Tabella3[[#This Row],[α_abs]]+Tabella224[α0_w]*57.3-Tabella224[iw]*57.3</f>
        <v>11.331538999999999</v>
      </c>
      <c r="C21">
        <f>Tabella3[[#This Row],[α_b]]+Tabella224[iw]*57.3</f>
        <v>12.832799</v>
      </c>
      <c r="D21">
        <v>8.4661245764850707E-2</v>
      </c>
      <c r="E21">
        <v>1.4613690340788399</v>
      </c>
      <c r="F21">
        <v>14.282923617969701</v>
      </c>
      <c r="G21">
        <v>1.59433050140411</v>
      </c>
      <c r="H21">
        <f>Tabella24[[#This Row],[X]]/Tabella224[b/2]</f>
        <v>1.0556484566126905</v>
      </c>
      <c r="I21">
        <f>Tabella24[[#This Row],[m]]/Tabella224[b/2]</f>
        <v>0.11783669633437621</v>
      </c>
      <c r="J21">
        <f>((0.1124 + 0.1265 * Tabella224[Λ_c/4] + 0.1766 * Tabella224[Λ_c/4]^2)/Tabella24[[#This Row],[r (X/b/2)]]^2) + (0.1024/Tabella24[[#This Row],[r (X/b/2)]]) +2</f>
        <v>2.2007281176927309</v>
      </c>
      <c r="K21">
        <f>(0.1124/Tabella24[[#This Row],[r (X/b/2)]]^2) + ( 0.1024/Tabella24[[#This Row],[r (X/b/2)]]) + 2</f>
        <v>2.1978640125930213</v>
      </c>
      <c r="L21">
        <f>Tabella24[[#This Row],[Kε_Λ]]/Tabella24[[#This Row],[Kε_Λ0]]</f>
        <v>1.0013031311688527</v>
      </c>
      <c r="M21">
        <f>(Tabella24[[#This Row],[r (X/b/2)]]/(Tabella24[[#This Row],[r (X/b/2)]]^2 + Tabella24[[#This Row],[m (m/b/2)]]^2))* (0.4876/(SQRT(Tabella24[[#This Row],[r (X/b/2)]]^2 + 0.6319 + Tabella24[[#This Row],[m (m/b/2)]]^2)))</f>
        <v>0.34386503240794652</v>
      </c>
      <c r="N21">
        <f>(1+(Tabella24[[#This Row],[r (X/b/2)]]^2/(Tabella24[[#This Row],[r (X/b/2)]]^2+0.7915 + 5.074 * Tabella24[[#This Row],[m (m/b/2)]]^2))^(0.3113))</f>
        <v>1.8366441945832599</v>
      </c>
      <c r="O21">
        <f>(1-(SQRT((Tabella24[[#This Row],[m (m/b/2)]]^2)/(1+Tabella24[[#This Row],[m (m/b/2)]]^2))))</f>
        <v>0.88297299113463379</v>
      </c>
      <c r="P21">
        <f>Tabella24[[#This Row],[dε/dα_k]]*(Tabella24[[#This Row],[dε/dα_1]]+Tabella24[[#This Row],[dε/dα_2]]*Tabella24[[#This Row],[dε/dα_3]])*(Tabella24[[#This Row],[CL_α]]*57.3/(3.14*Tabella224[AR]))</f>
        <v>0.25338620614989016</v>
      </c>
      <c r="Q21">
        <f>Tabella24[[#This Row],[dε/dα]]*Tabella24[[#This Row],[α_abs]]</f>
        <v>3.5474068860984622</v>
      </c>
    </row>
    <row r="22" spans="1:17" x14ac:dyDescent="0.45">
      <c r="A22">
        <f t="shared" si="0"/>
        <v>15</v>
      </c>
      <c r="B22" s="2">
        <f>Tabella3[[#This Row],[α_abs]]+Tabella224[α0_w]*57.3-Tabella224[iw]*57.3</f>
        <v>12.331538999999999</v>
      </c>
      <c r="C22" s="2">
        <f>Tabella3[[#This Row],[α_b]]+Tabella224[iw]*57.3</f>
        <v>13.832799</v>
      </c>
      <c r="D22">
        <v>7.0727767035164896E-2</v>
      </c>
      <c r="E22">
        <v>1.52248725921424</v>
      </c>
      <c r="F22">
        <v>14.3141548321128</v>
      </c>
      <c r="G22">
        <v>1.1042071248401699</v>
      </c>
      <c r="H22">
        <f>Tabella24[[#This Row],[X]]/Tabella224[b/2]</f>
        <v>1.0579567503409313</v>
      </c>
      <c r="I22">
        <f>Tabella24[[#This Row],[m]]/Tabella224[b/2]</f>
        <v>8.161176088988692E-2</v>
      </c>
      <c r="J22">
        <f>((0.1124 + 0.1265 * Tabella224[Λ_c/4] + 0.1766 * Tabella224[Λ_c/4]^2)/Tabella24[[#This Row],[r (X/b/2)]]^2) + (0.1024/Tabella24[[#This Row],[r (X/b/2)]]) +2</f>
        <v>2.2000643406261209</v>
      </c>
      <c r="K22">
        <f>(0.1124/Tabella24[[#This Row],[r (X/b/2)]]^2) + ( 0.1024/Tabella24[[#This Row],[r (X/b/2)]]) + 2</f>
        <v>2.1972127199376055</v>
      </c>
      <c r="L22">
        <f>Tabella24[[#This Row],[Kε_Λ]]/Tabella24[[#This Row],[Kε_Λ0]]</f>
        <v>1.001297835508888</v>
      </c>
      <c r="M22">
        <f>(Tabella24[[#This Row],[r (X/b/2)]]/(Tabella24[[#This Row],[r (X/b/2)]]^2 + Tabella24[[#This Row],[m (m/b/2)]]^2))* (0.4876/(SQRT(Tabella24[[#This Row],[r (X/b/2)]]^2 + 0.6319 + Tabella24[[#This Row],[m (m/b/2)]]^2)))</f>
        <v>0.34556541753676046</v>
      </c>
      <c r="N22">
        <f>(1+(Tabella24[[#This Row],[r (X/b/2)]]^2/(Tabella24[[#This Row],[r (X/b/2)]]^2+0.7915 + 5.074 * Tabella24[[#This Row],[m (m/b/2)]]^2))^(0.3113))</f>
        <v>1.84202133975537</v>
      </c>
      <c r="O22">
        <f>(1-(SQRT((Tabella24[[#This Row],[m (m/b/2)]]^2)/(1+Tabella24[[#This Row],[m (m/b/2)]]^2))))</f>
        <v>0.91865867566043502</v>
      </c>
      <c r="P22">
        <f>Tabella24[[#This Row],[dε/dα_k]]*(Tabella24[[#This Row],[dε/dα_1]]+Tabella24[[#This Row],[dε/dα_2]]*Tabella24[[#This Row],[dε/dα_3]])*(Tabella24[[#This Row],[CL_α]]*57.3/(3.14*Tabella224[AR]))</f>
        <v>0.219456662906066</v>
      </c>
      <c r="Q22">
        <f>Tabella24[[#This Row],[dε/dα]]*Tabella24[[#This Row],[α_abs]]</f>
        <v>3.2918499435909898</v>
      </c>
    </row>
    <row r="23" spans="1:17" x14ac:dyDescent="0.45">
      <c r="A23">
        <f t="shared" si="0"/>
        <v>16</v>
      </c>
      <c r="B23" s="2">
        <f>Tabella3[[#This Row],[α_abs]]+Tabella224[α0_w]*57.3-Tabella224[iw]*57.3</f>
        <v>13.331538999999999</v>
      </c>
      <c r="C23" s="2">
        <f>Tabella3[[#This Row],[α_b]]+Tabella224[iw]*57.3</f>
        <v>14.832799</v>
      </c>
      <c r="D23">
        <v>5.22473313753695E-2</v>
      </c>
      <c r="E23">
        <v>1.5626654226636201</v>
      </c>
      <c r="F23">
        <v>14.322331931719701</v>
      </c>
      <c r="G23">
        <v>0.49356996853757601</v>
      </c>
      <c r="H23">
        <f>Tabella24[[#This Row],[X]]/Tabella224[b/2]</f>
        <v>1.0585611183828307</v>
      </c>
      <c r="I23">
        <f>Tabella24[[#This Row],[m]]/Tabella224[b/2]</f>
        <v>3.6479672471365562E-2</v>
      </c>
      <c r="J23">
        <f>((0.1124 + 0.1265 * Tabella224[Λ_c/4] + 0.1766 * Tabella224[Λ_c/4]^2)/Tabella24[[#This Row],[r (X/b/2)]]^2) + (0.1024/Tabella24[[#This Row],[r (X/b/2)]]) +2</f>
        <v>2.1998911882616734</v>
      </c>
      <c r="K23">
        <f>(0.1124/Tabella24[[#This Row],[r (X/b/2)]]^2) + ( 0.1024/Tabella24[[#This Row],[r (X/b/2)]]) + 2</f>
        <v>2.1970428228153929</v>
      </c>
      <c r="L23">
        <f>Tabella24[[#This Row],[Kε_Λ]]/Tabella24[[#This Row],[Kε_Λ0]]</f>
        <v>1.001296454223241</v>
      </c>
      <c r="M23">
        <f>(Tabella24[[#This Row],[r (X/b/2)]]/(Tabella24[[#This Row],[r (X/b/2)]]^2 + Tabella24[[#This Row],[m (m/b/2)]]^2))* (0.4876/(SQRT(Tabella24[[#This Row],[r (X/b/2)]]^2 + 0.6319 + Tabella24[[#This Row],[m (m/b/2)]]^2)))</f>
        <v>0.34741170159860763</v>
      </c>
      <c r="N23">
        <f>(1+(Tabella24[[#This Row],[r (X/b/2)]]^2/(Tabella24[[#This Row],[r (X/b/2)]]^2+0.7915 + 5.074 * Tabella24[[#This Row],[m (m/b/2)]]^2))^(0.3113))</f>
        <v>1.8458253867783627</v>
      </c>
      <c r="O23">
        <f>(1-(SQRT((Tabella24[[#This Row],[m (m/b/2)]]^2)/(1+Tabella24[[#This Row],[m (m/b/2)]]^2))))</f>
        <v>0.9635445762923287</v>
      </c>
      <c r="P23">
        <f>Tabella24[[#This Row],[dε/dα_k]]*(Tabella24[[#This Row],[dε/dα_1]]+Tabella24[[#This Row],[dε/dα_2]]*Tabella24[[#This Row],[dε/dα_3]])*(Tabella24[[#This Row],[CL_α]]*57.3/(3.14*Tabella224[AR]))</f>
        <v>0.16913087654917869</v>
      </c>
      <c r="Q23">
        <f>Tabella24[[#This Row],[dε/dα]]*Tabella24[[#This Row],[α_abs]]</f>
        <v>2.706094024786859</v>
      </c>
    </row>
    <row r="24" spans="1:17" x14ac:dyDescent="0.45">
      <c r="A24">
        <f t="shared" si="0"/>
        <v>17</v>
      </c>
      <c r="B24" s="2">
        <f>Tabella3[[#This Row],[α_abs]]+Tabella224[α0_w]*57.3-Tabella224[iw]*57.3</f>
        <v>14.331538999999999</v>
      </c>
      <c r="C24" s="2">
        <f>Tabella3[[#This Row],[α_b]]+Tabella224[iw]*57.3</f>
        <v>15.832799</v>
      </c>
      <c r="D24">
        <v>2.92199383809684E-2</v>
      </c>
      <c r="E24">
        <v>1.57735657790398</v>
      </c>
      <c r="F24">
        <v>14.2872889124111</v>
      </c>
      <c r="G24">
        <v>-0.24306371705337901</v>
      </c>
      <c r="H24">
        <f>Tabella24[[#This Row],[X]]/Tabella224[b/2]</f>
        <v>1.0559710947827865</v>
      </c>
      <c r="I24">
        <f>Tabella24[[#This Row],[m]]/Tabella224[b/2]</f>
        <v>-1.7964798008379825E-2</v>
      </c>
      <c r="J24">
        <f>((0.1124 + 0.1265 * Tabella224[Λ_c/4] + 0.1766 * Tabella224[Λ_c/4]^2)/Tabella24[[#This Row],[r (X/b/2)]]^2) + (0.1024/Tabella24[[#This Row],[r (X/b/2)]]) +2</f>
        <v>2.2006351053590523</v>
      </c>
      <c r="K24">
        <f>(0.1124/Tabella24[[#This Row],[r (X/b/2)]]^2) + ( 0.1024/Tabella24[[#This Row],[r (X/b/2)]]) + 2</f>
        <v>2.1977727501717488</v>
      </c>
      <c r="L24">
        <f>Tabella24[[#This Row],[Kε_Λ]]/Tabella24[[#This Row],[Kε_Λ0]]</f>
        <v>1.0013023890605068</v>
      </c>
      <c r="M24">
        <f>(Tabella24[[#This Row],[r (X/b/2)]]/(Tabella24[[#This Row],[r (X/b/2)]]^2 + Tabella24[[#This Row],[m (m/b/2)]]^2))* (0.4876/(SQRT(Tabella24[[#This Row],[r (X/b/2)]]^2 + 0.6319 + Tabella24[[#This Row],[m (m/b/2)]]^2)))</f>
        <v>0.34922275710213274</v>
      </c>
      <c r="N24">
        <f>(1+(Tabella24[[#This Row],[r (X/b/2)]]^2/(Tabella24[[#This Row],[r (X/b/2)]]^2+0.7915 + 5.074 * Tabella24[[#This Row],[m (m/b/2)]]^2))^(0.3113))</f>
        <v>1.845992768426477</v>
      </c>
      <c r="O24">
        <f>(1-(SQRT((Tabella24[[#This Row],[m (m/b/2)]]^2)/(1+Tabella24[[#This Row],[m (m/b/2)]]^2))))</f>
        <v>0.98203810021539073</v>
      </c>
      <c r="P24">
        <f>Tabella24[[#This Row],[dε/dα_k]]*(Tabella24[[#This Row],[dε/dα_1]]+Tabella24[[#This Row],[dε/dα_2]]*Tabella24[[#This Row],[dε/dα_3]])*(Tabella24[[#This Row],[CL_α]]*57.3/(3.14*Tabella224[AR]))</f>
        <v>9.6195689958012046E-2</v>
      </c>
      <c r="Q24">
        <f>Tabella24[[#This Row],[dε/dα]]*Tabella24[[#This Row],[α_abs]]</f>
        <v>1.6353267292862048</v>
      </c>
    </row>
    <row r="25" spans="1:17" x14ac:dyDescent="0.45">
      <c r="A25">
        <f>A24+1</f>
        <v>18</v>
      </c>
      <c r="B25" s="2">
        <f>Tabella3[[#This Row],[α_abs]]+Tabella224[α0_w]*57.3-Tabella224[iw]*57.3</f>
        <v>15.331539000000001</v>
      </c>
      <c r="C25" s="2">
        <f>Tabella3[[#This Row],[α_b]]+Tabella224[iw]*57.3</f>
        <v>16.832799000000001</v>
      </c>
      <c r="D25">
        <v>1.6455383118552101E-3</v>
      </c>
      <c r="E25">
        <v>1.5620159470931601</v>
      </c>
      <c r="F25">
        <v>14.277065867523399</v>
      </c>
      <c r="G25">
        <v>-0.36563982436565901</v>
      </c>
      <c r="H25">
        <f>Tabella24[[#This Row],[X]]/Tabella224[b/2]</f>
        <v>1.0552155112729786</v>
      </c>
      <c r="I25">
        <f>Tabella24[[#This Row],[m]]/Tabella224[b/2]</f>
        <v>-2.7024377262798153E-2</v>
      </c>
      <c r="J25">
        <f>((0.1124 + 0.1265 * Tabella224[Λ_c/4] + 0.1766 * Tabella224[Λ_c/4]^2)/Tabella24[[#This Row],[r (X/b/2)]]^2) + (0.1024/Tabella24[[#This Row],[r (X/b/2)]]) +2</f>
        <v>2.200853049965759</v>
      </c>
      <c r="K25">
        <f>(0.1124/Tabella24[[#This Row],[r (X/b/2)]]^2) + ( 0.1024/Tabella24[[#This Row],[r (X/b/2)]]) + 2</f>
        <v>2.1979865941512946</v>
      </c>
      <c r="L25">
        <f>Tabella24[[#This Row],[Kε_Λ]]/Tabella24[[#This Row],[Kε_Λ0]]</f>
        <v>1.001304127978802</v>
      </c>
      <c r="M25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5">
        <f>(1+(Tabella24[[#This Row],[r (X/b/2)]]^2/(Tabella24[[#This Row],[r (X/b/2)]]^2+0.7915 + 5.074 * Tabella24[[#This Row],[m (m/b/2)]]^2))^(0.3113))</f>
        <v>1.8455506085198849</v>
      </c>
      <c r="O25">
        <f>(1-(SQRT((Tabella24[[#This Row],[m (m/b/2)]]^2)/(1+Tabella24[[#This Row],[m (m/b/2)]]^2))))</f>
        <v>0.97298548551592579</v>
      </c>
      <c r="P25">
        <f>Tabella24[[#This Row],[dε/dα_k]]*(Tabella24[[#This Row],[dε/dα_1]]+Tabella24[[#This Row],[dε/dα_2]]*Tabella24[[#This Row],[dε/dα_3]])*(Tabella24[[#This Row],[CL_α]]*57.3/(3.14*Tabella224[AR]))</f>
        <v>5.3749809662669195E-3</v>
      </c>
      <c r="Q25">
        <f>Tabella24[[#This Row],[dε/dα]]*Tabella24[[#This Row],[α_abs]]</f>
        <v>9.6749657392804556E-2</v>
      </c>
    </row>
    <row r="26" spans="1:17" x14ac:dyDescent="0.45">
      <c r="A26">
        <f t="shared" ref="A26:A27" si="1">A25+1</f>
        <v>19</v>
      </c>
      <c r="B26" s="2">
        <f>Tabella3[[#This Row],[α_abs]]+Tabella224[α0_w]*57.3-Tabella224[iw]*57.3</f>
        <v>16.331539000000003</v>
      </c>
      <c r="C26" s="2">
        <f>Tabella3[[#This Row],[α_b]]+Tabella224[iw]*57.3</f>
        <v>17.832799000000001</v>
      </c>
      <c r="D26">
        <v>-3.0480375670981299E-2</v>
      </c>
      <c r="E26">
        <v>1.52305821961917</v>
      </c>
      <c r="F26">
        <v>14.277065867523399</v>
      </c>
      <c r="G26">
        <v>-0.36563982436565901</v>
      </c>
      <c r="H26">
        <f>Tabella24[[#This Row],[X]]/Tabella224[b/2]</f>
        <v>1.0552155112729786</v>
      </c>
      <c r="I26">
        <f>Tabella24[[#This Row],[m]]/Tabella224[b/2]</f>
        <v>-2.7024377262798153E-2</v>
      </c>
      <c r="J26">
        <f>((0.1124 + 0.1265 * Tabella224[Λ_c/4] + 0.1766 * Tabella224[Λ_c/4]^2)/Tabella24[[#This Row],[r (X/b/2)]]^2) + (0.1024/Tabella24[[#This Row],[r (X/b/2)]]) +2</f>
        <v>2.200853049965759</v>
      </c>
      <c r="K26">
        <f>(0.1124/Tabella24[[#This Row],[r (X/b/2)]]^2) + ( 0.1024/Tabella24[[#This Row],[r (X/b/2)]]) + 2</f>
        <v>2.1979865941512946</v>
      </c>
      <c r="L26">
        <f>Tabella24[[#This Row],[Kε_Λ]]/Tabella24[[#This Row],[Kε_Λ0]]</f>
        <v>1.001304127978802</v>
      </c>
      <c r="M26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6">
        <f>(1+(Tabella24[[#This Row],[r (X/b/2)]]^2/(Tabella24[[#This Row],[r (X/b/2)]]^2+0.7915 + 5.074 * Tabella24[[#This Row],[m (m/b/2)]]^2))^(0.3113))</f>
        <v>1.8455506085198849</v>
      </c>
      <c r="O26">
        <f>(1-(SQRT((Tabella24[[#This Row],[m (m/b/2)]]^2)/(1+Tabella24[[#This Row],[m (m/b/2)]]^2))))</f>
        <v>0.97298548551592579</v>
      </c>
      <c r="P26">
        <f>Tabella24[[#This Row],[dε/dα_k]]*(Tabella24[[#This Row],[dε/dα_1]]+Tabella24[[#This Row],[dε/dα_2]]*Tabella24[[#This Row],[dε/dα_3]])*(Tabella24[[#This Row],[CL_α]]*57.3/(3.14*Tabella224[AR]))</f>
        <v>-9.9560999519654567E-2</v>
      </c>
      <c r="Q26">
        <f>Tabella24[[#This Row],[dε/dα]]*Tabella24[[#This Row],[α_abs]]</f>
        <v>-1.8916589908734367</v>
      </c>
    </row>
    <row r="27" spans="1:17" x14ac:dyDescent="0.45">
      <c r="A27">
        <f t="shared" si="1"/>
        <v>20</v>
      </c>
      <c r="B27" s="2">
        <f>Tabella3[[#This Row],[α_abs]]+Tabella224[α0_w]*57.3-Tabella224[iw]*57.3</f>
        <v>17.331539000000003</v>
      </c>
      <c r="C27" s="2">
        <f>Tabella3[[#This Row],[α_b]]+Tabella224[iw]*57.3</f>
        <v>18.832799000000001</v>
      </c>
      <c r="D27">
        <v>-5.7431024161159298E-2</v>
      </c>
      <c r="E27">
        <v>1.52305821961917</v>
      </c>
      <c r="F27">
        <v>14.277065867523399</v>
      </c>
      <c r="G27">
        <v>-0.36563982436565901</v>
      </c>
      <c r="H27">
        <f>Tabella24[[#This Row],[X]]/Tabella224[b/2]</f>
        <v>1.0552155112729786</v>
      </c>
      <c r="I27">
        <f>Tabella24[[#This Row],[m]]/Tabella224[b/2]</f>
        <v>-2.7024377262798153E-2</v>
      </c>
      <c r="J27">
        <f>((0.1124 + 0.1265 * Tabella224[Λ_c/4] + 0.1766 * Tabella224[Λ_c/4]^2)/Tabella24[[#This Row],[r (X/b/2)]]^2) + (0.1024/Tabella24[[#This Row],[r (X/b/2)]]) +2</f>
        <v>2.200853049965759</v>
      </c>
      <c r="K27">
        <f>(0.1124/Tabella24[[#This Row],[r (X/b/2)]]^2) + ( 0.1024/Tabella24[[#This Row],[r (X/b/2)]]) + 2</f>
        <v>2.1979865941512946</v>
      </c>
      <c r="L27">
        <f>Tabella24[[#This Row],[Kε_Λ]]/Tabella24[[#This Row],[Kε_Λ0]]</f>
        <v>1.001304127978802</v>
      </c>
      <c r="M27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7">
        <f>(1+(Tabella24[[#This Row],[r (X/b/2)]]^2/(Tabella24[[#This Row],[r (X/b/2)]]^2+0.7915 + 5.074 * Tabella24[[#This Row],[m (m/b/2)]]^2))^(0.3113))</f>
        <v>1.8455506085198849</v>
      </c>
      <c r="O27">
        <f>(1-(SQRT((Tabella24[[#This Row],[m (m/b/2)]]^2)/(1+Tabella24[[#This Row],[m (m/b/2)]]^2))))</f>
        <v>0.97298548551592579</v>
      </c>
      <c r="P27">
        <f>Tabella24[[#This Row],[dε/dα_k]]*(Tabella24[[#This Row],[dε/dα_1]]+Tabella24[[#This Row],[dε/dα_2]]*Tabella24[[#This Row],[dε/dα_3]])*(Tabella24[[#This Row],[CL_α]]*57.3/(3.14*Tabella224[AR]))</f>
        <v>-0.18759250970670097</v>
      </c>
      <c r="Q27">
        <f>Tabella24[[#This Row],[dε/dα]]*Tabella24[[#This Row],[α_abs]]</f>
        <v>-3.7518501941340192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P14" sqref="P14"/>
    </sheetView>
  </sheetViews>
  <sheetFormatPr defaultRowHeight="14.25" x14ac:dyDescent="0.45"/>
  <cols>
    <col min="1" max="1" width="7.06640625" customWidth="1"/>
    <col min="8" max="8" width="7.265625" customWidth="1"/>
    <col min="9" max="9" width="7.597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4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ATAN((Tabella2245[[#This Row],[m0]]/(Tabella2245[[#This Row],[X0]]-0.75*Tabella2245[[#This Row],[Cr]])))</f>
        <v>0.3318971510674355</v>
      </c>
    </row>
    <row r="5" spans="1:14" x14ac:dyDescent="0.45">
      <c r="A5" s="16" t="s">
        <v>9</v>
      </c>
      <c r="B5" s="17" t="s">
        <v>10</v>
      </c>
      <c r="C5" s="17" t="s">
        <v>11</v>
      </c>
      <c r="D5" s="17" t="s">
        <v>12</v>
      </c>
      <c r="E5" s="17" t="s">
        <v>13</v>
      </c>
      <c r="F5" s="17" t="s">
        <v>14</v>
      </c>
      <c r="G5" s="17" t="s">
        <v>16</v>
      </c>
      <c r="H5" s="17" t="s">
        <v>50</v>
      </c>
      <c r="I5" s="17" t="s">
        <v>51</v>
      </c>
      <c r="J5" s="17" t="s">
        <v>52</v>
      </c>
      <c r="K5" s="17" t="s">
        <v>21</v>
      </c>
      <c r="L5" s="17" t="s">
        <v>19</v>
      </c>
    </row>
    <row r="6" spans="1:14" x14ac:dyDescent="0.45">
      <c r="A6" s="11">
        <v>0</v>
      </c>
      <c r="B6" s="12">
        <f>A6+Tabella2245[α0_w]*57.3 - Tabella2245[iw]*57.3</f>
        <v>-2.6684609999999997</v>
      </c>
      <c r="C6" s="12">
        <f>B6+Tabella2245[iw]*57.3</f>
        <v>-1.1672009999999997</v>
      </c>
      <c r="D6" s="12">
        <v>9.8282834347781997E-2</v>
      </c>
      <c r="E6" s="12">
        <v>0.115402510819653</v>
      </c>
      <c r="F6" s="12">
        <v>13.6917312039044</v>
      </c>
      <c r="G6" s="12">
        <v>4.3124999907486403</v>
      </c>
      <c r="H6" s="12">
        <v>0.08</v>
      </c>
      <c r="I6" s="12">
        <f>(10-3*Tabella2245[λ])/7</f>
        <v>1.1560000000000001</v>
      </c>
      <c r="J6" s="12">
        <f>(1-(G6/(Tabella2245[b/2]*2)))/(((F6/Tabella2245[b/2]))^(1/3))</f>
        <v>0.83730887078770322</v>
      </c>
      <c r="K6" s="12">
        <f>4.44*(H6*I6*J6* SQRT(COS(Tabella2245[Λ_c/4])))^(1.19)</f>
        <v>0.21141554710975663</v>
      </c>
      <c r="L6" s="12">
        <f>A6*K6</f>
        <v>0</v>
      </c>
      <c r="N6">
        <f>2*G6/(Tabella2245[b/2]*2)</f>
        <v>0.31873614122310723</v>
      </c>
    </row>
    <row r="7" spans="1:14" x14ac:dyDescent="0.45">
      <c r="A7" s="13">
        <f>A6+1</f>
        <v>1</v>
      </c>
      <c r="B7" s="12">
        <f>A7+Tabella2245[α0_w]*57.3 - Tabella2245[iw]*57.3</f>
        <v>-1.668461</v>
      </c>
      <c r="C7" s="12">
        <f>B7+Tabella2245[iw]*57.3</f>
        <v>-0.16720099999999993</v>
      </c>
      <c r="D7" s="14">
        <v>9.8282834347781997E-2</v>
      </c>
      <c r="E7" s="15">
        <v>0.21368534516743501</v>
      </c>
      <c r="F7" s="15">
        <v>13.745889410382899</v>
      </c>
      <c r="G7" s="14">
        <v>4.1566379898647403</v>
      </c>
      <c r="H7" s="12">
        <v>0.08</v>
      </c>
      <c r="I7" s="12">
        <f>(10-3*Tabella2245[λ])/7</f>
        <v>1.1560000000000001</v>
      </c>
      <c r="J7" s="12">
        <f>(1-(G7/(Tabella2245[b/2]*2)))/(((F7/Tabella2245[b/2]))^(1/3))</f>
        <v>0.84193732331697446</v>
      </c>
      <c r="K7" s="12">
        <f>4.44*(H7*I7*J7* SQRT(COS(Tabella2245[Λ_c/4])))^(1.19)</f>
        <v>0.21280697809328983</v>
      </c>
      <c r="L7" s="12">
        <f t="shared" ref="L7:L26" si="0">A7*K7</f>
        <v>0.21280697809328983</v>
      </c>
      <c r="N7">
        <f>F6/Tabella2245[b/2]</f>
        <v>1.011953525787465</v>
      </c>
    </row>
    <row r="8" spans="1:14" x14ac:dyDescent="0.45">
      <c r="A8" s="11">
        <f t="shared" ref="A8:A23" si="1">A7+1</f>
        <v>2</v>
      </c>
      <c r="B8" s="12">
        <f>A8+Tabella2245[α0_w]*57.3 - Tabella2245[iw]*57.3</f>
        <v>-0.66846099999999997</v>
      </c>
      <c r="C8" s="12">
        <f>B8+Tabella2245[iw]*57.3</f>
        <v>0.83279900000000007</v>
      </c>
      <c r="D8" s="12">
        <v>9.8282834347781997E-2</v>
      </c>
      <c r="E8" s="12">
        <v>0.31196817951521699</v>
      </c>
      <c r="F8" s="12">
        <v>13.797222731719399</v>
      </c>
      <c r="G8" s="12">
        <v>4.0014437301949703</v>
      </c>
      <c r="H8" s="12">
        <v>0.08</v>
      </c>
      <c r="I8" s="12">
        <f>(10-3*Tabella2245[λ])/7</f>
        <v>1.1560000000000001</v>
      </c>
      <c r="J8" s="12">
        <f>(1-(G8/(Tabella2245[b/2]*2)))/(((F8/Tabella2245[b/2]))^(1/3))</f>
        <v>0.84658979064039164</v>
      </c>
      <c r="K8" s="12">
        <f>4.44*(H8*I8*J8* SQRT(COS(Tabella2245[Λ_c/4])))^(1.19)</f>
        <v>0.2142070939819975</v>
      </c>
      <c r="L8" s="12">
        <f t="shared" si="0"/>
        <v>0.428414187963995</v>
      </c>
    </row>
    <row r="9" spans="1:14" x14ac:dyDescent="0.45">
      <c r="A9" s="13">
        <f t="shared" si="1"/>
        <v>3</v>
      </c>
      <c r="B9" s="12">
        <f>A9+Tabella2245[α0_w]*57.3 - Tabella2245[iw]*57.3</f>
        <v>0.33153900000000003</v>
      </c>
      <c r="C9" s="12">
        <f>B9+Tabella2245[iw]*57.3</f>
        <v>1.8327990000000001</v>
      </c>
      <c r="D9" s="14">
        <v>9.8282834347781997E-2</v>
      </c>
      <c r="E9" s="14">
        <v>0.410251013862999</v>
      </c>
      <c r="F9" s="14">
        <v>13.8457845025516</v>
      </c>
      <c r="G9" s="14">
        <v>3.8469638352084101</v>
      </c>
      <c r="H9" s="12">
        <v>0.08</v>
      </c>
      <c r="I9" s="12">
        <f>(10-3*Tabella2245[λ])/7</f>
        <v>1.1560000000000001</v>
      </c>
      <c r="J9" s="12">
        <f>(1-(G9/(Tabella2245[b/2]*2)))/(((F9/Tabella2245[b/2]))^(1/3))</f>
        <v>0.85126393048195292</v>
      </c>
      <c r="K9" s="12">
        <f>4.44*(H9*I9*J9* SQRT(COS(Tabella2245[Λ_c/4])))^(1.19)</f>
        <v>0.21561520494021139</v>
      </c>
      <c r="L9" s="12">
        <f t="shared" si="0"/>
        <v>0.64684561482063418</v>
      </c>
    </row>
    <row r="10" spans="1:14" x14ac:dyDescent="0.45">
      <c r="A10" s="11">
        <f t="shared" si="1"/>
        <v>4</v>
      </c>
      <c r="B10" s="12">
        <f>A10+Tabella2245[α0_w]*57.3 - Tabella2245[iw]*57.3</f>
        <v>1.331539</v>
      </c>
      <c r="C10" s="12">
        <f>B10+Tabella2245[iw]*57.3</f>
        <v>2.8327990000000001</v>
      </c>
      <c r="D10" s="12">
        <v>9.8282834347781997E-2</v>
      </c>
      <c r="E10" s="12">
        <v>0.50853384821078196</v>
      </c>
      <c r="F10" s="12">
        <v>13.8916290583707</v>
      </c>
      <c r="G10" s="12">
        <v>3.6932413891250002</v>
      </c>
      <c r="H10" s="12">
        <v>0.08</v>
      </c>
      <c r="I10" s="12">
        <f>(10-3*Tabella2245[λ])/7</f>
        <v>1.1560000000000001</v>
      </c>
      <c r="J10" s="12">
        <f>(1-(G10/(Tabella2245[b/2]*2)))/(((F10/Tabella2245[b/2]))^(1/3))</f>
        <v>0.85595753500617189</v>
      </c>
      <c r="K10" s="12">
        <f>4.44*(H10*I10*J10* SQRT(COS(Tabella2245[Λ_c/4])))^(1.19)</f>
        <v>0.21703065872248389</v>
      </c>
      <c r="L10" s="12">
        <f t="shared" si="0"/>
        <v>0.86812263488993557</v>
      </c>
    </row>
    <row r="11" spans="1:14" x14ac:dyDescent="0.45">
      <c r="A11" s="13">
        <f t="shared" si="1"/>
        <v>5</v>
      </c>
      <c r="B11" s="12">
        <f>A11+Tabella2245[α0_w]*57.3 - Tabella2245[iw]*57.3</f>
        <v>2.3315390000000003</v>
      </c>
      <c r="C11" s="12">
        <f>B11+Tabella2245[iw]*57.3</f>
        <v>3.8327990000000005</v>
      </c>
      <c r="D11" s="14">
        <v>9.8282834347781997E-2</v>
      </c>
      <c r="E11" s="14">
        <v>0.60681668255856303</v>
      </c>
      <c r="F11" s="14">
        <v>13.934811533044799</v>
      </c>
      <c r="G11" s="14">
        <v>3.54031591967399</v>
      </c>
      <c r="H11" s="12">
        <v>0.08</v>
      </c>
      <c r="I11" s="12">
        <f>(10-3*Tabella2245[λ])/7</f>
        <v>1.1560000000000001</v>
      </c>
      <c r="J11" s="12">
        <f>(1-(G11/(Tabella2245[b/2]*2)))/(((F11/Tabella2245[b/2]))^(1/3))</f>
        <v>0.86066853130470378</v>
      </c>
      <c r="K11" s="12">
        <f>4.44*(H11*I11*J11* SQRT(COS(Tabella2245[Λ_c/4])))^(1.19)</f>
        <v>0.21845284103266394</v>
      </c>
      <c r="L11" s="12">
        <f t="shared" si="0"/>
        <v>1.0922642051633198</v>
      </c>
    </row>
    <row r="12" spans="1:14" x14ac:dyDescent="0.45">
      <c r="A12" s="11">
        <f t="shared" si="1"/>
        <v>6</v>
      </c>
      <c r="B12" s="12">
        <f>A12+Tabella2245[α0_w]*57.3 - Tabella2245[iw]*57.3</f>
        <v>3.3315389999999994</v>
      </c>
      <c r="C12" s="12">
        <f>B12+Tabella2245[iw]*57.3</f>
        <v>4.8327989999999996</v>
      </c>
      <c r="D12" s="12">
        <v>9.8282834347779194E-2</v>
      </c>
      <c r="E12" s="12">
        <v>0.70509951690631101</v>
      </c>
      <c r="F12" s="12">
        <v>13.9753876574768</v>
      </c>
      <c r="G12" s="12">
        <v>3.3882234021856799</v>
      </c>
      <c r="H12" s="12">
        <v>0.08</v>
      </c>
      <c r="I12" s="12">
        <f>(10-3*Tabella2245[λ])/7</f>
        <v>1.1560000000000001</v>
      </c>
      <c r="J12" s="12">
        <f>(1-(G12/(Tabella2245[b/2]*2)))/(((F12/Tabella2245[b/2]))^(1/3))</f>
        <v>0.86539498140749371</v>
      </c>
      <c r="K12" s="12">
        <f>4.44*(H12*I12*J12* SQRT(COS(Tabella2245[Λ_c/4])))^(1.19)</f>
        <v>0.21988117574318772</v>
      </c>
      <c r="L12" s="12">
        <f t="shared" si="0"/>
        <v>1.3192870544591262</v>
      </c>
    </row>
    <row r="13" spans="1:14" x14ac:dyDescent="0.45">
      <c r="A13" s="13">
        <f t="shared" si="1"/>
        <v>7</v>
      </c>
      <c r="B13" s="12">
        <f>A13+Tabella2245[α0_w]*57.3 - Tabella2245[iw]*57.3</f>
        <v>4.3315389999999994</v>
      </c>
      <c r="C13" s="12">
        <f>B13+Tabella2245[iw]*57.3</f>
        <v>5.8327989999999996</v>
      </c>
      <c r="D13" s="14">
        <v>9.8282834347227094E-2</v>
      </c>
      <c r="E13" s="14">
        <v>0.80338235124850899</v>
      </c>
      <c r="F13" s="14">
        <v>14.0134135612502</v>
      </c>
      <c r="G13" s="14">
        <v>3.2369962841600901</v>
      </c>
      <c r="H13" s="12">
        <v>0.08</v>
      </c>
      <c r="I13" s="12">
        <f>(10-3*Tabella2245[λ])/7</f>
        <v>1.1560000000000001</v>
      </c>
      <c r="J13" s="12">
        <f>(1-(G13/(Tabella2245[b/2]*2)))/(((F13/Tabella2245[b/2]))^(1/3))</f>
        <v>0.87013508181158605</v>
      </c>
      <c r="K13" s="12">
        <f>4.44*(H13*I13*J13* SQRT(COS(Tabella2245[Λ_c/4])))^(1.19)</f>
        <v>0.22131512497069225</v>
      </c>
      <c r="L13" s="12">
        <f t="shared" si="0"/>
        <v>1.5492058747948458</v>
      </c>
    </row>
    <row r="14" spans="1:14" x14ac:dyDescent="0.45">
      <c r="A14" s="11">
        <f t="shared" si="1"/>
        <v>8</v>
      </c>
      <c r="B14" s="12">
        <f>A14+Tabella2245[α0_w]*57.3 - Tabella2245[iw]*57.3</f>
        <v>5.3315389999999994</v>
      </c>
      <c r="C14" s="12">
        <f>B14+Tabella2245[iw]*57.3</f>
        <v>6.8327989999999996</v>
      </c>
      <c r="D14" s="12">
        <v>9.8282834239803205E-2</v>
      </c>
      <c r="E14" s="12">
        <v>0.90166518473535795</v>
      </c>
      <c r="F14" s="12">
        <v>14.0488295971388</v>
      </c>
      <c r="G14" s="12">
        <v>3.0871771656852101</v>
      </c>
      <c r="H14" s="12">
        <v>0.08</v>
      </c>
      <c r="I14" s="12">
        <f>(10-3*Tabella2245[λ])/7</f>
        <v>1.1560000000000001</v>
      </c>
      <c r="J14" s="12">
        <f>(1-(G14/(Tabella2245[b/2]*2)))/(((F14/Tabella2245[b/2]))^(1/3))</f>
        <v>0.87487082531166904</v>
      </c>
      <c r="K14" s="12">
        <f>4.44*(H14*I14*J14* SQRT(COS(Tabella2245[Λ_c/4])))^(1.19)</f>
        <v>0.22274923908738847</v>
      </c>
      <c r="L14" s="12">
        <f t="shared" si="0"/>
        <v>1.7819939126991078</v>
      </c>
    </row>
    <row r="15" spans="1:14" x14ac:dyDescent="0.45">
      <c r="A15" s="13">
        <f t="shared" si="1"/>
        <v>9</v>
      </c>
      <c r="B15" s="12">
        <f>A15+Tabella2245[α0_w]*57.3 - Tabella2245[iw]*57.3</f>
        <v>6.3315389999999994</v>
      </c>
      <c r="C15" s="12">
        <f>B15+Tabella2245[iw]*57.3</f>
        <v>7.8327989999999996</v>
      </c>
      <c r="D15" s="14">
        <v>9.8282813863925997E-2</v>
      </c>
      <c r="E15" s="14">
        <v>0.99994789521852601</v>
      </c>
      <c r="F15" s="14">
        <v>14.0804149076745</v>
      </c>
      <c r="G15" s="14">
        <v>2.9448243312074101</v>
      </c>
      <c r="H15" s="12">
        <v>0.08</v>
      </c>
      <c r="I15" s="12">
        <f>(10-3*Tabella2245[λ])/7</f>
        <v>1.1560000000000001</v>
      </c>
      <c r="J15" s="12">
        <f>(1-(G15/(Tabella2245[b/2]*2)))/(((F15/Tabella2245[b/2]))^(1/3))</f>
        <v>0.87940733916781999</v>
      </c>
      <c r="K15" s="12">
        <f>4.44*(H15*I15*J15* SQRT(COS(Tabella2245[Λ_c/4])))^(1.19)</f>
        <v>0.22412440495347286</v>
      </c>
      <c r="L15" s="12">
        <f t="shared" si="0"/>
        <v>2.0171196445812556</v>
      </c>
    </row>
    <row r="16" spans="1:14" x14ac:dyDescent="0.45">
      <c r="A16" s="11">
        <f t="shared" si="1"/>
        <v>10</v>
      </c>
      <c r="B16" s="12">
        <f>A16+Tabella2245[α0_w]*57.3 - Tabella2245[iw]*57.3</f>
        <v>7.3315389999999994</v>
      </c>
      <c r="C16" s="12">
        <f>B16+Tabella2245[iw]*57.3</f>
        <v>8.8327989999999996</v>
      </c>
      <c r="D16" s="12">
        <v>9.8279039539641996E-2</v>
      </c>
      <c r="E16" s="12">
        <v>1.0984346730599399</v>
      </c>
      <c r="F16" s="12">
        <v>14.1156952451298</v>
      </c>
      <c r="G16" s="12">
        <v>2.77397755795876</v>
      </c>
      <c r="H16" s="12">
        <v>0.08</v>
      </c>
      <c r="I16" s="12">
        <f>(10-3*Tabella2245[λ])/7</f>
        <v>1.1560000000000001</v>
      </c>
      <c r="J16" s="12">
        <f>(1-(G16/(Tabella2245[b/2]*2)))/(((F16/Tabella2245[b/2]))^(1/3))</f>
        <v>0.88489914221861798</v>
      </c>
      <c r="K16" s="12">
        <f>4.44*(H16*I16*J16* SQRT(COS(Tabella2245[Λ_c/4])))^(1.19)</f>
        <v>0.2257909540841605</v>
      </c>
      <c r="L16" s="12">
        <f t="shared" si="0"/>
        <v>2.257909540841605</v>
      </c>
    </row>
    <row r="17" spans="1:12" x14ac:dyDescent="0.45">
      <c r="A17" s="13">
        <f t="shared" si="1"/>
        <v>11</v>
      </c>
      <c r="B17" s="12">
        <f>A17+Tabella2245[α0_w]*57.3 - Tabella2245[iw]*57.3</f>
        <v>8.3315389999999994</v>
      </c>
      <c r="C17" s="12">
        <f>B17+Tabella2245[iw]*57.3</f>
        <v>9.8327989999999996</v>
      </c>
      <c r="D17" s="14">
        <v>9.9188004814052794E-2</v>
      </c>
      <c r="E17" s="14">
        <v>1.19784355761298</v>
      </c>
      <c r="F17" s="14">
        <v>14.1549967368558</v>
      </c>
      <c r="G17" s="14">
        <v>2.56495212438475</v>
      </c>
      <c r="H17" s="12">
        <v>0.08</v>
      </c>
      <c r="I17" s="12">
        <f>(10-3*Tabella2245[λ])/7</f>
        <v>1.1560000000000001</v>
      </c>
      <c r="J17" s="12">
        <f>(1-(G17/(Tabella2245[b/2]*2)))/(((F17/Tabella2245[b/2]))^(1/3))</f>
        <v>0.89168851861220011</v>
      </c>
      <c r="K17" s="12">
        <f>4.44*(H17*I17*J17* SQRT(COS(Tabella2245[Λ_c/4])))^(1.19)</f>
        <v>0.22785398337878934</v>
      </c>
      <c r="L17" s="12">
        <f t="shared" si="0"/>
        <v>2.5063938171666829</v>
      </c>
    </row>
    <row r="18" spans="1:12" x14ac:dyDescent="0.45">
      <c r="A18" s="11">
        <f t="shared" si="1"/>
        <v>12</v>
      </c>
      <c r="B18" s="12">
        <f>A18+Tabella2245[α0_w]*57.3 - Tabella2245[iw]*57.3</f>
        <v>9.3315389999999994</v>
      </c>
      <c r="C18" s="12">
        <f>B18+Tabella2245[iw]*57.3</f>
        <v>10.832799</v>
      </c>
      <c r="D18" s="12">
        <v>9.8887374946945397E-2</v>
      </c>
      <c r="E18" s="12">
        <v>1.29450022632146</v>
      </c>
      <c r="F18" s="12">
        <v>14.1976370788321</v>
      </c>
      <c r="G18" s="12">
        <v>2.3073371737589401</v>
      </c>
      <c r="H18" s="12">
        <v>0.08</v>
      </c>
      <c r="I18" s="12">
        <f>(10-3*Tabella2245[λ])/7</f>
        <v>1.1560000000000001</v>
      </c>
      <c r="J18" s="12">
        <f>(1-(G18/(Tabella2245[b/2]*2)))/(((F18/Tabella2245[b/2]))^(1/3))</f>
        <v>0.90016345171049772</v>
      </c>
      <c r="K18" s="12">
        <f>4.44*(H18*I18*J18* SQRT(COS(Tabella2245[Λ_c/4])))^(1.19)</f>
        <v>0.23043337713057238</v>
      </c>
      <c r="L18" s="12">
        <f t="shared" si="0"/>
        <v>2.7652005255668684</v>
      </c>
    </row>
    <row r="19" spans="1:12" x14ac:dyDescent="0.45">
      <c r="A19" s="13">
        <f t="shared" si="1"/>
        <v>13</v>
      </c>
      <c r="B19" s="12">
        <f>A19+Tabella2245[α0_w]*57.3 - Tabella2245[iw]*57.3</f>
        <v>10.331538999999999</v>
      </c>
      <c r="C19" s="12">
        <f>B19+Tabella2245[iw]*57.3</f>
        <v>11.832799</v>
      </c>
      <c r="D19" s="14">
        <v>9.4047767782505606E-2</v>
      </c>
      <c r="E19" s="14">
        <v>1.38385770413853</v>
      </c>
      <c r="F19" s="14">
        <v>14.241623411473</v>
      </c>
      <c r="G19" s="14">
        <v>1.9888920790517799</v>
      </c>
      <c r="H19" s="12">
        <v>0.08</v>
      </c>
      <c r="I19" s="12">
        <f>(10-3*Tabella2245[λ])/7</f>
        <v>1.1560000000000001</v>
      </c>
      <c r="J19" s="12">
        <f>(1-(G19/(Tabella2245[b/2]*2)))/(((F19/Tabella2245[b/2]))^(1/3))</f>
        <v>0.91080449878771463</v>
      </c>
      <c r="K19" s="12">
        <f>4.44*(H19*I19*J19* SQRT(COS(Tabella2245[Λ_c/4])))^(1.19)</f>
        <v>0.23367857539408221</v>
      </c>
      <c r="L19" s="12">
        <f t="shared" si="0"/>
        <v>3.0378214801230685</v>
      </c>
    </row>
    <row r="20" spans="1:12" x14ac:dyDescent="0.45">
      <c r="A20" s="11">
        <f t="shared" si="1"/>
        <v>14</v>
      </c>
      <c r="B20" s="12">
        <f>A20+Tabella2245[α0_w]*57.3 - Tabella2245[iw]*57.3</f>
        <v>11.331538999999999</v>
      </c>
      <c r="C20" s="12">
        <f>B20+Tabella2245[iw]*57.3</f>
        <v>12.832799</v>
      </c>
      <c r="D20" s="12">
        <v>8.4661245764850707E-2</v>
      </c>
      <c r="E20" s="12">
        <v>1.4613690340788399</v>
      </c>
      <c r="F20" s="12">
        <v>14.282923617969701</v>
      </c>
      <c r="G20" s="12">
        <v>1.59433050140411</v>
      </c>
      <c r="H20" s="12">
        <v>0.08</v>
      </c>
      <c r="I20" s="12">
        <f>(10-3*Tabella2245[λ])/7</f>
        <v>1.1560000000000001</v>
      </c>
      <c r="J20" s="12">
        <f>(1-(G20/(Tabella2245[b/2]*2)))/(((F20/Tabella2245[b/2]))^(1/3))</f>
        <v>0.92424590222758451</v>
      </c>
      <c r="K20" s="12">
        <f>4.44*(H20*I20*J20* SQRT(COS(Tabella2245[Λ_c/4])))^(1.19)</f>
        <v>0.2377880977557085</v>
      </c>
      <c r="L20" s="12">
        <f t="shared" si="0"/>
        <v>3.3290333685799189</v>
      </c>
    </row>
    <row r="21" spans="1:12" x14ac:dyDescent="0.45">
      <c r="A21" s="13">
        <f t="shared" si="1"/>
        <v>15</v>
      </c>
      <c r="B21" s="12">
        <f>A21+Tabella2245[α0_w]*57.3 - Tabella2245[iw]*57.3</f>
        <v>12.331538999999999</v>
      </c>
      <c r="C21" s="12">
        <f>B21+Tabella2245[iw]*57.3</f>
        <v>13.832799</v>
      </c>
      <c r="D21" s="14">
        <v>7.0727767035164896E-2</v>
      </c>
      <c r="E21" s="14">
        <v>1.52248725921424</v>
      </c>
      <c r="F21" s="14">
        <v>14.3141548321128</v>
      </c>
      <c r="G21" s="14">
        <v>1.1042071248401699</v>
      </c>
      <c r="H21" s="12">
        <v>0.08</v>
      </c>
      <c r="I21" s="12">
        <f>(10-3*Tabella2245[λ])/7</f>
        <v>1.1560000000000001</v>
      </c>
      <c r="J21" s="12">
        <f>(1-(G21/(Tabella2245[b/2]*2)))/(((F21/Tabella2245[b/2]))^(1/3))</f>
        <v>0.94134871974877865</v>
      </c>
      <c r="K21" s="12">
        <f>4.44*(H21*I21*J21* SQRT(COS(Tabella2245[Λ_c/4])))^(1.19)</f>
        <v>0.24303346885342084</v>
      </c>
      <c r="L21" s="12">
        <f t="shared" si="0"/>
        <v>3.6455020328013124</v>
      </c>
    </row>
    <row r="22" spans="1:12" x14ac:dyDescent="0.45">
      <c r="A22" s="11">
        <f t="shared" si="1"/>
        <v>16</v>
      </c>
      <c r="B22" s="12">
        <f>A22+Tabella2245[α0_w]*57.3 - Tabella2245[iw]*57.3</f>
        <v>13.331538999999999</v>
      </c>
      <c r="C22" s="12">
        <f>B22+Tabella2245[iw]*57.3</f>
        <v>14.832799</v>
      </c>
      <c r="D22" s="12">
        <v>5.22473313753695E-2</v>
      </c>
      <c r="E22" s="12">
        <v>1.5626654226636201</v>
      </c>
      <c r="F22" s="12">
        <v>14.322331931719701</v>
      </c>
      <c r="G22" s="12">
        <v>0.49356996853757601</v>
      </c>
      <c r="H22" s="12">
        <v>0.08</v>
      </c>
      <c r="I22" s="12">
        <f>(10-3*Tabella2245[λ])/7</f>
        <v>1.1560000000000001</v>
      </c>
      <c r="J22" s="12">
        <f>(1-(G22/(Tabella2245[b/2]*2)))/(((F22/Tabella2245[b/2]))^(1/3))</f>
        <v>0.96331153351232401</v>
      </c>
      <c r="K22" s="12">
        <f>4.44*(H22*I22*J22* SQRT(COS(Tabella2245[Λ_c/4])))^(1.19)</f>
        <v>0.24979594951221692</v>
      </c>
      <c r="L22" s="12">
        <f t="shared" si="0"/>
        <v>3.9967351921954708</v>
      </c>
    </row>
    <row r="23" spans="1:12" x14ac:dyDescent="0.45">
      <c r="A23" s="13">
        <f t="shared" si="1"/>
        <v>17</v>
      </c>
      <c r="B23" s="12">
        <f>A23+Tabella2245[α0_w]*57.3 - Tabella2245[iw]*57.3</f>
        <v>14.331538999999999</v>
      </c>
      <c r="C23" s="12">
        <f>B23+Tabella2245[iw]*57.3</f>
        <v>15.832799</v>
      </c>
      <c r="D23" s="14">
        <v>2.92199383809684E-2</v>
      </c>
      <c r="E23" s="14">
        <v>1.57735657790398</v>
      </c>
      <c r="F23" s="14">
        <v>14.2872889124111</v>
      </c>
      <c r="G23" s="14">
        <v>-0.24306371705337901</v>
      </c>
      <c r="H23" s="12">
        <v>0.08</v>
      </c>
      <c r="I23" s="12">
        <f>(10-3*Tabella2245[λ])/7</f>
        <v>1.1560000000000001</v>
      </c>
      <c r="J23" s="12">
        <f>(1-(G23/(Tabella2245[b/2]*2)))/(((F23/Tabella2245[b/2]))^(1/3))</f>
        <v>0.99083098716491791</v>
      </c>
      <c r="K23" s="12">
        <f>4.44*(H23*I23*J23* SQRT(COS(Tabella2245[Λ_c/4])))^(1.19)</f>
        <v>0.25831073071076377</v>
      </c>
      <c r="L23" s="12">
        <f t="shared" si="0"/>
        <v>4.391282422082984</v>
      </c>
    </row>
    <row r="24" spans="1:12" x14ac:dyDescent="0.45">
      <c r="A24" s="11">
        <f>A23+1</f>
        <v>18</v>
      </c>
      <c r="B24" s="12">
        <f>A24+Tabella2245[α0_w]*57.3 - Tabella2245[iw]*57.3</f>
        <v>15.331539000000001</v>
      </c>
      <c r="C24" s="12">
        <f>B24+Tabella2245[iw]*57.3</f>
        <v>16.832799000000001</v>
      </c>
      <c r="D24" s="12">
        <v>1.6455383118552101E-3</v>
      </c>
      <c r="E24" s="12">
        <v>1.5620159470931601</v>
      </c>
      <c r="F24" s="12">
        <v>14.277065867523399</v>
      </c>
      <c r="G24" s="12">
        <v>-0.36563982436565901</v>
      </c>
      <c r="H24" s="12">
        <v>0.08</v>
      </c>
      <c r="I24" s="12">
        <f>(10-3*Tabella2245[λ])/7</f>
        <v>1.1560000000000001</v>
      </c>
      <c r="J24" s="12">
        <f>(1-(G24/(Tabella2245[b/2]*2)))/(((F24/Tabella2245[b/2]))^(1/3))</f>
        <v>0.99551678547335065</v>
      </c>
      <c r="K24" s="12">
        <f>4.44*(H24*I24*J24* SQRT(COS(Tabella2245[Λ_c/4])))^(1.19)</f>
        <v>0.25976507839472718</v>
      </c>
      <c r="L24" s="12">
        <f t="shared" si="0"/>
        <v>4.6757714111050888</v>
      </c>
    </row>
    <row r="25" spans="1:12" x14ac:dyDescent="0.45">
      <c r="A25" s="13">
        <f t="shared" ref="A25:A26" si="2">A24+1</f>
        <v>19</v>
      </c>
      <c r="B25" s="12">
        <f>A25+Tabella2245[α0_w]*57.3 - Tabella2245[iw]*57.3</f>
        <v>16.331539000000003</v>
      </c>
      <c r="C25" s="12">
        <f>B25+Tabella2245[iw]*57.3</f>
        <v>17.832799000000001</v>
      </c>
      <c r="D25" s="14">
        <v>-3.0480375670981299E-2</v>
      </c>
      <c r="E25" s="14">
        <v>1.52305821961917</v>
      </c>
      <c r="F25" s="14">
        <v>14.277065867523399</v>
      </c>
      <c r="G25" s="14">
        <v>-0.36563982436565901</v>
      </c>
      <c r="H25" s="12">
        <v>0.08</v>
      </c>
      <c r="I25" s="12">
        <f>(10-3*Tabella2245[λ])/7</f>
        <v>1.1560000000000001</v>
      </c>
      <c r="J25" s="12">
        <f>(1-(G25/(Tabella2245[b/2]*2)))/(((F25/Tabella2245[b/2]))^(1/3))</f>
        <v>0.99551678547335065</v>
      </c>
      <c r="K25" s="12">
        <f>4.44*(H25*I25*J25* SQRT(COS(Tabella2245[Λ_c/4])))^(1.19)</f>
        <v>0.25976507839472718</v>
      </c>
      <c r="L25" s="12">
        <f t="shared" si="0"/>
        <v>4.9355364894998166</v>
      </c>
    </row>
    <row r="26" spans="1:12" x14ac:dyDescent="0.45">
      <c r="A26" s="11">
        <f t="shared" si="2"/>
        <v>20</v>
      </c>
      <c r="B26" s="12">
        <f>A26+Tabella2245[α0_w]*57.3 - Tabella2245[iw]*57.3</f>
        <v>17.331539000000003</v>
      </c>
      <c r="C26" s="12">
        <f>B26+Tabella2245[iw]*57.3</f>
        <v>18.832799000000001</v>
      </c>
      <c r="D26" s="12">
        <v>-5.7431024161159298E-2</v>
      </c>
      <c r="E26" s="12">
        <v>1.52305821961917</v>
      </c>
      <c r="F26" s="12">
        <v>14.277065867523399</v>
      </c>
      <c r="G26" s="12">
        <v>-0.36563982436565901</v>
      </c>
      <c r="H26" s="12">
        <v>0.08</v>
      </c>
      <c r="I26" s="12">
        <f>(10-3*Tabella2245[λ])/7</f>
        <v>1.1560000000000001</v>
      </c>
      <c r="J26" s="12">
        <f>(1-(G26/(Tabella2245[b/2]*2)))/(((F26/Tabella2245[b/2]))^(1/3))</f>
        <v>0.99551678547335065</v>
      </c>
      <c r="K26" s="12">
        <f>4.44*(H26*I26*J26* SQRT(COS(Tabella2245[Λ_c/4])))^(1.19)</f>
        <v>0.25976507839472718</v>
      </c>
      <c r="L26" s="12">
        <f t="shared" si="0"/>
        <v>5.1953015678945436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Giordano</vt:lpstr>
      <vt:lpstr>Delft</vt:lpstr>
      <vt:lpstr>Roskam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2016-03-14T12:14:15Z</dcterms:created>
  <dcterms:modified xsi:type="dcterms:W3CDTF">2016-03-15T16:53:57Z</dcterms:modified>
</cp:coreProperties>
</file>