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rio\Desktop\Materiale JPAD\"/>
    </mc:Choice>
  </mc:AlternateContent>
  <bookViews>
    <workbookView xWindow="96" yWindow="36" windowWidth="19140" windowHeight="9552" activeTab="1"/>
  </bookViews>
  <sheets>
    <sheet name="TO&amp;Landing Sensibility Analysis" sheetId="1" r:id="rId1"/>
    <sheet name="Charts" sheetId="2" r:id="rId2"/>
  </sheets>
  <calcPr calcId="162913"/>
</workbook>
</file>

<file path=xl/calcChain.xml><?xml version="1.0" encoding="utf-8"?>
<calcChain xmlns="http://schemas.openxmlformats.org/spreadsheetml/2006/main">
  <c r="D59" i="1" l="1"/>
  <c r="E59" i="1"/>
  <c r="D61" i="1"/>
  <c r="E61" i="1"/>
  <c r="D62" i="1"/>
  <c r="D36" i="1" l="1"/>
  <c r="E20" i="1" l="1"/>
  <c r="C25" i="1" s="1"/>
  <c r="D25" i="1" s="1"/>
  <c r="C23" i="1" l="1"/>
  <c r="C26" i="1"/>
  <c r="C24" i="1"/>
  <c r="B20" i="1"/>
  <c r="B19" i="1"/>
  <c r="E19" i="1" s="1"/>
  <c r="B18" i="1"/>
  <c r="E18" i="1" s="1"/>
  <c r="D24" i="1" l="1"/>
  <c r="D23" i="1"/>
  <c r="D26" i="1"/>
  <c r="A25" i="1"/>
  <c r="A24" i="1"/>
  <c r="A23" i="1"/>
  <c r="A26" i="1"/>
  <c r="E24" i="1"/>
  <c r="B59" i="1"/>
  <c r="B61" i="1"/>
  <c r="C61" i="1"/>
  <c r="C62" i="1"/>
  <c r="B62" i="1"/>
  <c r="C59" i="1"/>
  <c r="B26" i="1" l="1"/>
  <c r="B23" i="1"/>
  <c r="B24" i="1"/>
  <c r="B25" i="1"/>
  <c r="E23" i="1"/>
  <c r="F24" i="1"/>
  <c r="E26" i="1"/>
  <c r="E25" i="1"/>
  <c r="C51" i="1"/>
  <c r="D51" i="1" s="1"/>
  <c r="E51" i="1" s="1"/>
  <c r="C53" i="1"/>
  <c r="D53" i="1" s="1"/>
  <c r="E53" i="1" s="1"/>
  <c r="G53" i="1"/>
  <c r="H53" i="1" s="1"/>
  <c r="I53" i="1" s="1"/>
  <c r="G52" i="1"/>
  <c r="H52" i="1" s="1"/>
  <c r="I52" i="1" s="1"/>
  <c r="J52" i="1" s="1"/>
  <c r="C52" i="1"/>
  <c r="D52" i="1" s="1"/>
  <c r="E52" i="1" s="1"/>
  <c r="A52" i="1"/>
  <c r="G51" i="1"/>
  <c r="A53" i="1" l="1"/>
  <c r="A51" i="1"/>
  <c r="F23" i="1"/>
  <c r="F26" i="1"/>
  <c r="F25" i="1"/>
  <c r="K52" i="1"/>
  <c r="M51" i="1"/>
  <c r="J53" i="1"/>
  <c r="K53" i="1" s="1"/>
  <c r="H51" i="1"/>
  <c r="I51" i="1" s="1"/>
  <c r="J51" i="1" s="1"/>
  <c r="K51" i="1" s="1"/>
  <c r="D31" i="1" l="1"/>
  <c r="D32" i="1"/>
  <c r="D33" i="1"/>
  <c r="D34" i="1"/>
  <c r="D35" i="1"/>
  <c r="I31" i="1"/>
  <c r="D37" i="1"/>
  <c r="D38" i="1"/>
  <c r="D39" i="1"/>
  <c r="D40" i="1"/>
  <c r="D41" i="1"/>
  <c r="D42" i="1"/>
  <c r="D43" i="1"/>
  <c r="D44" i="1"/>
  <c r="D45" i="1"/>
  <c r="D46" i="1"/>
  <c r="A45" i="1" l="1"/>
  <c r="B45" i="1"/>
  <c r="A33" i="1"/>
  <c r="A42" i="1"/>
  <c r="A46" i="1"/>
  <c r="B44" i="1"/>
  <c r="A37" i="1"/>
  <c r="A34" i="1"/>
  <c r="B43" i="1"/>
  <c r="A39" i="1"/>
  <c r="A40" i="1"/>
  <c r="A41" i="1"/>
  <c r="A38" i="1"/>
  <c r="A35" i="1"/>
  <c r="A31" i="1"/>
  <c r="A36" i="1"/>
  <c r="A44" i="1"/>
  <c r="B46" i="1"/>
  <c r="A43" i="1"/>
  <c r="A32" i="1"/>
  <c r="E45" i="1" l="1"/>
  <c r="F45" i="1" s="1"/>
  <c r="G45" i="1" s="1"/>
  <c r="E46" i="1"/>
  <c r="F46" i="1" s="1"/>
  <c r="G46" i="1" s="1"/>
  <c r="B33" i="1"/>
  <c r="E33" i="1" s="1"/>
  <c r="F33" i="1" s="1"/>
  <c r="G33" i="1" s="1"/>
  <c r="E44" i="1"/>
  <c r="F44" i="1" s="1"/>
  <c r="G44" i="1" s="1"/>
  <c r="E43" i="1"/>
  <c r="F43" i="1" s="1"/>
  <c r="G43" i="1" s="1"/>
  <c r="B34" i="1"/>
  <c r="B31" i="1"/>
  <c r="E31" i="1" s="1"/>
  <c r="B32" i="1"/>
  <c r="E32" i="1" s="1"/>
  <c r="B42" i="1"/>
  <c r="E42" i="1" s="1"/>
  <c r="B39" i="1"/>
  <c r="E39" i="1" s="1"/>
  <c r="B40" i="1"/>
  <c r="E40" i="1" s="1"/>
  <c r="B41" i="1"/>
  <c r="B35" i="1"/>
  <c r="B38" i="1"/>
  <c r="E38" i="1" s="1"/>
  <c r="B36" i="1"/>
  <c r="E36" i="1" s="1"/>
  <c r="B37" i="1"/>
  <c r="E35" i="1" l="1"/>
  <c r="F35" i="1" s="1"/>
  <c r="G35" i="1" s="1"/>
  <c r="F42" i="1"/>
  <c r="G42" i="1" s="1"/>
  <c r="F32" i="1"/>
  <c r="G32" i="1" s="1"/>
  <c r="E41" i="1"/>
  <c r="F41" i="1" s="1"/>
  <c r="G41" i="1" s="1"/>
  <c r="F38" i="1"/>
  <c r="G38" i="1" s="1"/>
  <c r="F31" i="1"/>
  <c r="G31" i="1" s="1"/>
  <c r="F40" i="1"/>
  <c r="G40" i="1" s="1"/>
  <c r="F39" i="1"/>
  <c r="G39" i="1" s="1"/>
  <c r="E37" i="1"/>
  <c r="F37" i="1" s="1"/>
  <c r="G37" i="1" s="1"/>
  <c r="E34" i="1"/>
  <c r="F34" i="1" s="1"/>
  <c r="G34" i="1" s="1"/>
  <c r="F36" i="1"/>
  <c r="G36" i="1" s="1"/>
</calcChain>
</file>

<file path=xl/sharedStrings.xml><?xml version="1.0" encoding="utf-8"?>
<sst xmlns="http://schemas.openxmlformats.org/spreadsheetml/2006/main" count="61" uniqueCount="48">
  <si>
    <t>B747-100B</t>
  </si>
  <si>
    <t>S</t>
  </si>
  <si>
    <t>T0</t>
  </si>
  <si>
    <t>W/S</t>
  </si>
  <si>
    <t>T/W</t>
  </si>
  <si>
    <t>Model Data</t>
  </si>
  <si>
    <t>Take-Off analysis</t>
  </si>
  <si>
    <t>TO length</t>
  </si>
  <si>
    <t>FAR-25 TO length</t>
  </si>
  <si>
    <t>TOP 25</t>
  </si>
  <si>
    <t>CLmaxTO</t>
  </si>
  <si>
    <t>σ</t>
  </si>
  <si>
    <t>Statistical Field Length</t>
  </si>
  <si>
    <t>Difference (%)</t>
  </si>
  <si>
    <t>T0 (x1 Eng)</t>
  </si>
  <si>
    <t>Va (m/s)</t>
  </si>
  <si>
    <t>Va (kts)</t>
  </si>
  <si>
    <t>Landing distance (m)</t>
  </si>
  <si>
    <t>Landing distance (ft)</t>
  </si>
  <si>
    <t>Statistical Field Length (ft)</t>
  </si>
  <si>
    <t>Statistical Field Length (m)</t>
  </si>
  <si>
    <t>Va^2 (kts^2)</t>
  </si>
  <si>
    <t>FAR-25 Landing field length (ft)</t>
  </si>
  <si>
    <t>FAR-25 Landing field length (m)</t>
  </si>
  <si>
    <r>
      <t>W</t>
    </r>
    <r>
      <rPr>
        <b/>
        <sz val="9"/>
        <color theme="1"/>
        <rFont val="Calibri"/>
        <family val="2"/>
        <scheme val="minor"/>
      </rPr>
      <t>TO</t>
    </r>
  </si>
  <si>
    <r>
      <t>W</t>
    </r>
    <r>
      <rPr>
        <b/>
        <sz val="9"/>
        <color theme="1"/>
        <rFont val="Calibri"/>
        <family val="2"/>
        <scheme val="minor"/>
      </rPr>
      <t>LAND</t>
    </r>
  </si>
  <si>
    <t>CLmaxLAND</t>
  </si>
  <si>
    <t>µ</t>
  </si>
  <si>
    <r>
      <t>µ</t>
    </r>
    <r>
      <rPr>
        <b/>
        <sz val="8"/>
        <color theme="1"/>
        <rFont val="Calibri"/>
        <family val="2"/>
      </rPr>
      <t>brake</t>
    </r>
  </si>
  <si>
    <r>
      <t xml:space="preserve">W/S </t>
    </r>
    <r>
      <rPr>
        <b/>
        <sz val="10"/>
        <color theme="1"/>
        <rFont val="Calibri"/>
        <family val="2"/>
        <scheme val="minor"/>
      </rPr>
      <t>TO</t>
    </r>
  </si>
  <si>
    <r>
      <t xml:space="preserve">W/S </t>
    </r>
    <r>
      <rPr>
        <b/>
        <sz val="10"/>
        <color theme="1"/>
        <rFont val="Calibri"/>
        <family val="2"/>
        <scheme val="minor"/>
      </rPr>
      <t>Land</t>
    </r>
  </si>
  <si>
    <t>W/S variation range landing</t>
  </si>
  <si>
    <t>W/S and T/W variation range take-off</t>
  </si>
  <si>
    <r>
      <rPr>
        <b/>
        <sz val="11"/>
        <color theme="1"/>
        <rFont val="Calibri"/>
        <family val="2"/>
      </rPr>
      <t>δ</t>
    </r>
    <r>
      <rPr>
        <b/>
        <sz val="9.9"/>
        <color theme="1"/>
        <rFont val="Calibri"/>
        <family val="2"/>
      </rPr>
      <t>f</t>
    </r>
  </si>
  <si>
    <t>N free-roll</t>
  </si>
  <si>
    <r>
      <t>δ</t>
    </r>
    <r>
      <rPr>
        <b/>
        <sz val="9.9"/>
        <color theme="1"/>
        <rFont val="Calibri"/>
        <family val="2"/>
      </rPr>
      <t>f</t>
    </r>
  </si>
  <si>
    <t>δs</t>
  </si>
  <si>
    <t>Flight manual Field Length (m)</t>
  </si>
  <si>
    <t>B777-200LR</t>
  </si>
  <si>
    <t>FAR-25 Landing Field Length</t>
  </si>
  <si>
    <r>
      <t>W</t>
    </r>
    <r>
      <rPr>
        <b/>
        <sz val="8"/>
        <color theme="1"/>
        <rFont val="Calibri"/>
        <family val="2"/>
        <scheme val="minor"/>
      </rPr>
      <t>LND</t>
    </r>
  </si>
  <si>
    <t>B787-8</t>
  </si>
  <si>
    <t>A321-200</t>
  </si>
  <si>
    <t>A380-800</t>
  </si>
  <si>
    <r>
      <t>W/S</t>
    </r>
    <r>
      <rPr>
        <b/>
        <sz val="8"/>
        <color theme="1"/>
        <rFont val="Calibri"/>
        <family val="2"/>
        <scheme val="minor"/>
      </rPr>
      <t>LND</t>
    </r>
  </si>
  <si>
    <t>Va</t>
  </si>
  <si>
    <t>Va^2</t>
  </si>
  <si>
    <t>Landing analysis (CLmaxLAND = 2.37@ δf = 30° and δs = 15°)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</si>
</sst>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0\ \k\g"/>
    <numFmt numFmtId="165" formatCode="0\ \m\^\2"/>
    <numFmt numFmtId="166" formatCode="0\ \N"/>
    <numFmt numFmtId="167" formatCode="0\ \k\g\/\m\^\2"/>
    <numFmt numFmtId="168" formatCode="0\ \l\b\/\f\t\^\2"/>
    <numFmt numFmtId="169" formatCode="0.000\ \l\b\/\l\b"/>
    <numFmt numFmtId="170" formatCode="0.000\ \N\/\k\g"/>
    <numFmt numFmtId="171" formatCode="0.00\ \m"/>
    <numFmt numFmtId="172" formatCode="0.0\ \m"/>
    <numFmt numFmtId="173" formatCode="0.00\ \k\t\s"/>
    <numFmt numFmtId="174" formatCode="0.00\ \f\t"/>
    <numFmt numFmtId="175" formatCode="0\ \k\t\s\^\2"/>
    <numFmt numFmtId="176" formatCode="0\ \°"/>
    <numFmt numFmtId="177" formatCode="0\ \s"/>
    <numFmt numFmtId="178" formatCode="0.000"/>
    <numFmt numFmtId="179" formatCode="0.00\ \m\/\s"/>
    <numFmt numFmtId="180" formatCode="0.000\ \N\/\l\b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.9"/>
      <color theme="1"/>
      <name val="Calibri"/>
      <family val="2"/>
    </font>
    <font>
      <b/>
      <sz val="18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/>
      <right style="medium">
        <color indexed="64"/>
      </right>
      <top style="thick">
        <color rgb="FFFF0000"/>
      </top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0">
    <xf numFmtId="0" fontId="0" fillId="0" borderId="0" xfId="0"/>
    <xf numFmtId="0" fontId="2" fillId="6" borderId="10" xfId="0" applyFont="1" applyFill="1" applyBorder="1" applyAlignment="1">
      <alignment horizontal="left" vertical="center"/>
    </xf>
    <xf numFmtId="165" fontId="2" fillId="5" borderId="15" xfId="0" applyNumberFormat="1" applyFont="1" applyFill="1" applyBorder="1"/>
    <xf numFmtId="168" fontId="2" fillId="0" borderId="1" xfId="0" applyNumberFormat="1" applyFont="1" applyBorder="1"/>
    <xf numFmtId="166" fontId="2" fillId="5" borderId="15" xfId="0" applyNumberFormat="1" applyFont="1" applyFill="1" applyBorder="1"/>
    <xf numFmtId="0" fontId="0" fillId="0" borderId="0" xfId="0" applyBorder="1"/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0" fillId="0" borderId="18" xfId="0" applyBorder="1"/>
    <xf numFmtId="171" fontId="0" fillId="0" borderId="12" xfId="0" applyNumberFormat="1" applyFont="1" applyBorder="1"/>
    <xf numFmtId="171" fontId="0" fillId="0" borderId="7" xfId="0" applyNumberFormat="1" applyFont="1" applyBorder="1"/>
    <xf numFmtId="2" fontId="0" fillId="0" borderId="16" xfId="0" applyNumberFormat="1" applyFont="1" applyBorder="1"/>
    <xf numFmtId="168" fontId="0" fillId="0" borderId="11" xfId="0" applyNumberFormat="1" applyFont="1" applyBorder="1"/>
    <xf numFmtId="168" fontId="0" fillId="0" borderId="5" xfId="0" applyNumberFormat="1" applyFont="1" applyBorder="1"/>
    <xf numFmtId="168" fontId="0" fillId="0" borderId="21" xfId="0" applyNumberFormat="1" applyFont="1" applyBorder="1"/>
    <xf numFmtId="171" fontId="0" fillId="0" borderId="23" xfId="0" applyNumberFormat="1" applyFont="1" applyBorder="1"/>
    <xf numFmtId="171" fontId="0" fillId="0" borderId="0" xfId="0" applyNumberFormat="1" applyFont="1" applyBorder="1"/>
    <xf numFmtId="172" fontId="0" fillId="0" borderId="0" xfId="0" applyNumberFormat="1" applyFont="1" applyBorder="1"/>
    <xf numFmtId="171" fontId="0" fillId="0" borderId="6" xfId="0" applyNumberFormat="1" applyFont="1" applyBorder="1"/>
    <xf numFmtId="2" fontId="0" fillId="0" borderId="11" xfId="0" applyNumberFormat="1" applyFont="1" applyBorder="1"/>
    <xf numFmtId="2" fontId="0" fillId="0" borderId="5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/>
    <xf numFmtId="0" fontId="2" fillId="6" borderId="13" xfId="0" applyFont="1" applyFill="1" applyBorder="1" applyAlignment="1">
      <alignment horizontal="center" vertical="center"/>
    </xf>
    <xf numFmtId="175" fontId="0" fillId="0" borderId="9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3" fontId="0" fillId="0" borderId="24" xfId="0" applyNumberFormat="1" applyFont="1" applyBorder="1"/>
    <xf numFmtId="0" fontId="3" fillId="0" borderId="0" xfId="0" applyFont="1" applyFill="1" applyBorder="1" applyAlignment="1">
      <alignment vertical="center"/>
    </xf>
    <xf numFmtId="171" fontId="0" fillId="0" borderId="27" xfId="0" applyNumberFormat="1" applyFont="1" applyBorder="1"/>
    <xf numFmtId="168" fontId="2" fillId="0" borderId="11" xfId="0" applyNumberFormat="1" applyFont="1" applyBorder="1"/>
    <xf numFmtId="168" fontId="2" fillId="0" borderId="5" xfId="0" applyNumberFormat="1" applyFont="1" applyBorder="1"/>
    <xf numFmtId="168" fontId="2" fillId="0" borderId="20" xfId="0" applyNumberFormat="1" applyFont="1" applyBorder="1"/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25" xfId="0" applyBorder="1"/>
    <xf numFmtId="0" fontId="2" fillId="0" borderId="25" xfId="0" applyFont="1" applyBorder="1"/>
    <xf numFmtId="174" fontId="0" fillId="0" borderId="27" xfId="0" applyNumberFormat="1" applyBorder="1"/>
    <xf numFmtId="171" fontId="2" fillId="0" borderId="23" xfId="0" applyNumberFormat="1" applyFont="1" applyBorder="1"/>
    <xf numFmtId="0" fontId="2" fillId="9" borderId="9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center" vertical="center"/>
    </xf>
    <xf numFmtId="168" fontId="2" fillId="0" borderId="22" xfId="0" applyNumberFormat="1" applyFont="1" applyBorder="1"/>
    <xf numFmtId="2" fontId="2" fillId="0" borderId="16" xfId="0" applyNumberFormat="1" applyFont="1" applyBorder="1"/>
    <xf numFmtId="175" fontId="2" fillId="0" borderId="20" xfId="0" applyNumberFormat="1" applyFont="1" applyBorder="1"/>
    <xf numFmtId="174" fontId="2" fillId="0" borderId="20" xfId="0" applyNumberFormat="1" applyFont="1" applyBorder="1"/>
    <xf numFmtId="173" fontId="2" fillId="0" borderId="0" xfId="0" applyNumberFormat="1" applyFont="1" applyBorder="1"/>
    <xf numFmtId="171" fontId="2" fillId="0" borderId="9" xfId="0" applyNumberFormat="1" applyFont="1" applyBorder="1"/>
    <xf numFmtId="179" fontId="0" fillId="0" borderId="12" xfId="0" applyNumberFormat="1" applyFont="1" applyFill="1" applyBorder="1"/>
    <xf numFmtId="171" fontId="2" fillId="5" borderId="16" xfId="0" applyNumberFormat="1" applyFont="1" applyFill="1" applyBorder="1"/>
    <xf numFmtId="174" fontId="2" fillId="5" borderId="5" xfId="0" applyNumberFormat="1" applyFont="1" applyFill="1" applyBorder="1"/>
    <xf numFmtId="171" fontId="2" fillId="5" borderId="10" xfId="0" applyNumberFormat="1" applyFont="1" applyFill="1" applyBorder="1"/>
    <xf numFmtId="174" fontId="2" fillId="5" borderId="2" xfId="0" applyNumberFormat="1" applyFont="1" applyFill="1" applyBorder="1"/>
    <xf numFmtId="171" fontId="2" fillId="5" borderId="8" xfId="0" applyNumberFormat="1" applyFont="1" applyFill="1" applyBorder="1"/>
    <xf numFmtId="174" fontId="2" fillId="5" borderId="16" xfId="0" applyNumberFormat="1" applyFont="1" applyFill="1" applyBorder="1"/>
    <xf numFmtId="171" fontId="2" fillId="5" borderId="20" xfId="0" applyNumberFormat="1" applyFont="1" applyFill="1" applyBorder="1"/>
    <xf numFmtId="174" fontId="2" fillId="5" borderId="26" xfId="0" applyNumberFormat="1" applyFont="1" applyFill="1" applyBorder="1"/>
    <xf numFmtId="171" fontId="2" fillId="5" borderId="11" xfId="0" applyNumberFormat="1" applyFont="1" applyFill="1" applyBorder="1"/>
    <xf numFmtId="171" fontId="2" fillId="5" borderId="5" xfId="0" applyNumberFormat="1" applyFont="1" applyFill="1" applyBorder="1"/>
    <xf numFmtId="174" fontId="2" fillId="5" borderId="21" xfId="0" applyNumberFormat="1" applyFont="1" applyFill="1" applyBorder="1"/>
    <xf numFmtId="171" fontId="2" fillId="5" borderId="2" xfId="0" applyNumberFormat="1" applyFont="1" applyFill="1" applyBorder="1"/>
    <xf numFmtId="171" fontId="2" fillId="5" borderId="21" xfId="0" applyNumberFormat="1" applyFont="1" applyFill="1" applyBorder="1"/>
    <xf numFmtId="171" fontId="2" fillId="5" borderId="19" xfId="0" applyNumberFormat="1" applyFont="1" applyFill="1" applyBorder="1"/>
    <xf numFmtId="0" fontId="0" fillId="0" borderId="0" xfId="0" applyFill="1"/>
    <xf numFmtId="10" fontId="12" fillId="2" borderId="11" xfId="1" applyNumberFormat="1" applyFont="1" applyBorder="1"/>
    <xf numFmtId="10" fontId="12" fillId="2" borderId="5" xfId="1" applyNumberFormat="1" applyFont="1" applyBorder="1"/>
    <xf numFmtId="10" fontId="12" fillId="2" borderId="26" xfId="1" applyNumberFormat="1" applyFont="1" applyBorder="1"/>
    <xf numFmtId="10" fontId="12" fillId="2" borderId="2" xfId="1" applyNumberFormat="1" applyFont="1" applyBorder="1"/>
    <xf numFmtId="10" fontId="12" fillId="2" borderId="31" xfId="1" applyNumberFormat="1" applyFont="1" applyBorder="1"/>
    <xf numFmtId="179" fontId="2" fillId="0" borderId="23" xfId="0" applyNumberFormat="1" applyFont="1" applyFill="1" applyBorder="1"/>
    <xf numFmtId="0" fontId="0" fillId="0" borderId="9" xfId="0" applyBorder="1"/>
    <xf numFmtId="0" fontId="0" fillId="0" borderId="1" xfId="0" applyBorder="1"/>
    <xf numFmtId="0" fontId="13" fillId="3" borderId="1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164" fontId="0" fillId="0" borderId="32" xfId="0" applyNumberFormat="1" applyBorder="1"/>
    <xf numFmtId="164" fontId="0" fillId="0" borderId="35" xfId="0" applyNumberFormat="1" applyBorder="1"/>
    <xf numFmtId="165" fontId="0" fillId="0" borderId="36" xfId="0" applyNumberFormat="1" applyBorder="1"/>
    <xf numFmtId="165" fontId="0" fillId="0" borderId="37" xfId="0" applyNumberFormat="1" applyBorder="1"/>
    <xf numFmtId="168" fontId="2" fillId="5" borderId="36" xfId="0" applyNumberFormat="1" applyFont="1" applyFill="1" applyBorder="1"/>
    <xf numFmtId="168" fontId="2" fillId="5" borderId="37" xfId="0" applyNumberFormat="1" applyFont="1" applyFill="1" applyBorder="1"/>
    <xf numFmtId="172" fontId="2" fillId="5" borderId="10" xfId="0" applyNumberFormat="1" applyFont="1" applyFill="1" applyBorder="1"/>
    <xf numFmtId="172" fontId="2" fillId="5" borderId="7" xfId="0" applyNumberFormat="1" applyFont="1" applyFill="1" applyBorder="1"/>
    <xf numFmtId="0" fontId="3" fillId="0" borderId="0" xfId="0" applyFont="1" applyFill="1" applyBorder="1" applyAlignment="1">
      <alignment horizontal="center"/>
    </xf>
    <xf numFmtId="172" fontId="2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166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9" fontId="2" fillId="0" borderId="0" xfId="0" applyNumberFormat="1" applyFont="1" applyFill="1" applyBorder="1" applyAlignment="1"/>
    <xf numFmtId="171" fontId="0" fillId="0" borderId="41" xfId="0" applyNumberFormat="1" applyFont="1" applyBorder="1"/>
    <xf numFmtId="179" fontId="0" fillId="0" borderId="42" xfId="0" applyNumberFormat="1" applyFont="1" applyFill="1" applyBorder="1"/>
    <xf numFmtId="173" fontId="0" fillId="0" borderId="43" xfId="0" applyNumberFormat="1" applyFont="1" applyBorder="1"/>
    <xf numFmtId="175" fontId="0" fillId="0" borderId="41" xfId="0" applyNumberFormat="1" applyFont="1" applyBorder="1"/>
    <xf numFmtId="10" fontId="12" fillId="2" borderId="44" xfId="1" applyNumberFormat="1" applyFont="1" applyBorder="1"/>
    <xf numFmtId="180" fontId="0" fillId="0" borderId="9" xfId="0" applyNumberFormat="1" applyFont="1" applyBorder="1"/>
    <xf numFmtId="180" fontId="0" fillId="0" borderId="10" xfId="0" applyNumberFormat="1" applyFont="1" applyBorder="1"/>
    <xf numFmtId="180" fontId="0" fillId="0" borderId="17" xfId="0" applyNumberFormat="1" applyFont="1" applyBorder="1"/>
    <xf numFmtId="180" fontId="2" fillId="0" borderId="17" xfId="0" applyNumberFormat="1" applyFont="1" applyBorder="1"/>
    <xf numFmtId="180" fontId="2" fillId="0" borderId="1" xfId="0" applyNumberFormat="1" applyFont="1" applyBorder="1"/>
    <xf numFmtId="173" fontId="0" fillId="0" borderId="37" xfId="0" applyNumberFormat="1" applyFont="1" applyFill="1" applyBorder="1"/>
    <xf numFmtId="173" fontId="0" fillId="0" borderId="36" xfId="0" applyNumberFormat="1" applyFont="1" applyFill="1" applyBorder="1"/>
    <xf numFmtId="174" fontId="0" fillId="0" borderId="6" xfId="0" applyNumberFormat="1" applyBorder="1"/>
    <xf numFmtId="174" fontId="2" fillId="5" borderId="41" xfId="0" applyNumberFormat="1" applyFont="1" applyFill="1" applyBorder="1"/>
    <xf numFmtId="0" fontId="3" fillId="6" borderId="36" xfId="0" applyFont="1" applyFill="1" applyBorder="1" applyAlignment="1">
      <alignment horizontal="center" vertical="center"/>
    </xf>
    <xf numFmtId="175" fontId="2" fillId="5" borderId="37" xfId="0" applyNumberFormat="1" applyFont="1" applyFill="1" applyBorder="1" applyAlignment="1">
      <alignment vertical="center"/>
    </xf>
    <xf numFmtId="175" fontId="2" fillId="5" borderId="36" xfId="0" applyNumberFormat="1" applyFont="1" applyFill="1" applyBorder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172" fontId="13" fillId="5" borderId="28" xfId="0" applyNumberFormat="1" applyFont="1" applyFill="1" applyBorder="1" applyAlignment="1">
      <alignment horizontal="center" vertical="center"/>
    </xf>
    <xf numFmtId="172" fontId="13" fillId="5" borderId="29" xfId="0" applyNumberFormat="1" applyFont="1" applyFill="1" applyBorder="1" applyAlignment="1">
      <alignment horizontal="center" vertical="center"/>
    </xf>
    <xf numFmtId="172" fontId="13" fillId="5" borderId="38" xfId="0" applyNumberFormat="1" applyFont="1" applyFill="1" applyBorder="1" applyAlignment="1">
      <alignment horizontal="center" vertical="center"/>
    </xf>
    <xf numFmtId="10" fontId="11" fillId="2" borderId="39" xfId="1" applyNumberFormat="1" applyFont="1" applyBorder="1" applyAlignment="1">
      <alignment horizontal="center" vertical="center"/>
    </xf>
    <xf numFmtId="10" fontId="11" fillId="2" borderId="40" xfId="1" applyNumberFormat="1" applyFont="1" applyBorder="1" applyAlignment="1">
      <alignment horizontal="center" vertical="center"/>
    </xf>
    <xf numFmtId="10" fontId="11" fillId="2" borderId="45" xfId="1" applyNumberFormat="1" applyFont="1" applyBorder="1" applyAlignment="1">
      <alignment horizontal="center" vertical="center"/>
    </xf>
    <xf numFmtId="10" fontId="11" fillId="2" borderId="28" xfId="1" applyNumberFormat="1" applyFont="1" applyBorder="1" applyAlignment="1">
      <alignment horizontal="center" vertical="center"/>
    </xf>
    <xf numFmtId="10" fontId="11" fillId="2" borderId="29" xfId="1" applyNumberFormat="1" applyFont="1" applyBorder="1" applyAlignment="1">
      <alignment horizontal="center" vertical="center"/>
    </xf>
    <xf numFmtId="10" fontId="11" fillId="2" borderId="30" xfId="1" applyNumberFormat="1" applyFont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/>
    </xf>
    <xf numFmtId="180" fontId="2" fillId="0" borderId="7" xfId="0" applyNumberFormat="1" applyFont="1" applyBorder="1" applyAlignment="1">
      <alignment horizontal="center"/>
    </xf>
    <xf numFmtId="168" fontId="2" fillId="0" borderId="11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176" fontId="2" fillId="10" borderId="6" xfId="0" applyNumberFormat="1" applyFont="1" applyFill="1" applyBorder="1" applyAlignment="1">
      <alignment horizontal="center" vertical="center"/>
    </xf>
    <xf numFmtId="176" fontId="2" fillId="10" borderId="7" xfId="0" applyNumberFormat="1" applyFont="1" applyFill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170" fontId="2" fillId="0" borderId="5" xfId="0" applyNumberFormat="1" applyFont="1" applyBorder="1" applyAlignment="1">
      <alignment horizontal="center"/>
    </xf>
    <xf numFmtId="170" fontId="2" fillId="0" borderId="6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172" fontId="4" fillId="0" borderId="28" xfId="0" applyNumberFormat="1" applyFont="1" applyBorder="1" applyAlignment="1">
      <alignment horizontal="center" vertical="center"/>
    </xf>
    <xf numFmtId="172" fontId="4" fillId="0" borderId="29" xfId="0" applyNumberFormat="1" applyFont="1" applyBorder="1" applyAlignment="1">
      <alignment horizontal="center" vertical="center"/>
    </xf>
    <xf numFmtId="172" fontId="4" fillId="0" borderId="30" xfId="0" applyNumberFormat="1" applyFont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176" fontId="2" fillId="4" borderId="12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6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78" fontId="2" fillId="10" borderId="33" xfId="0" applyNumberFormat="1" applyFont="1" applyFill="1" applyBorder="1" applyAlignment="1">
      <alignment horizontal="center" vertical="center"/>
    </xf>
    <xf numFmtId="178" fontId="2" fillId="10" borderId="34" xfId="0" applyNumberFormat="1" applyFont="1" applyFill="1" applyBorder="1" applyAlignment="1">
      <alignment horizontal="center" vertical="center"/>
    </xf>
    <xf numFmtId="178" fontId="2" fillId="10" borderId="35" xfId="0" applyNumberFormat="1" applyFont="1" applyFill="1" applyBorder="1" applyAlignment="1">
      <alignment horizontal="center" vertical="center"/>
    </xf>
    <xf numFmtId="176" fontId="2" fillId="10" borderId="0" xfId="0" applyNumberFormat="1" applyFont="1" applyFill="1" applyBorder="1" applyAlignment="1">
      <alignment horizontal="center" vertical="center"/>
    </xf>
    <xf numFmtId="176" fontId="2" fillId="10" borderId="12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it-IT" sz="1800"/>
              <a:t>Comparison</a:t>
            </a:r>
            <a:r>
              <a:rPr lang="it-IT" sz="1800" baseline="0"/>
              <a:t> between Statistical TO field length and JPAD calculation at different W/S and T/W</a:t>
            </a:r>
            <a:endParaRPr lang="it-IT" sz="18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T/W=0.245 Statistical Field Length</c:v>
          </c:tx>
          <c:marker>
            <c:symbol val="none"/>
          </c:marker>
          <c:xVal>
            <c:numRef>
              <c:f>'TO&amp;Landing Sensibility Analysis'!$A$31:$A$34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Analysis'!$F$31:$F$34</c:f>
              <c:numCache>
                <c:formatCode>0.00\ \m</c:formatCode>
                <c:ptCount val="4"/>
                <c:pt idx="0">
                  <c:v>2872.1380186319125</c:v>
                </c:pt>
                <c:pt idx="1">
                  <c:v>3191.2644651465694</c:v>
                </c:pt>
                <c:pt idx="2">
                  <c:v>3510.3909116612263</c:v>
                </c:pt>
                <c:pt idx="3">
                  <c:v>3829.5173581758831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E-4DFF-A2B4-4B11560F05F9}"/>
            </c:ext>
          </c:extLst>
        </c:ser>
        <c:ser>
          <c:idx val="1"/>
          <c:order val="1"/>
          <c:tx>
            <c:v>T/W=0.245 JPAD</c:v>
          </c:tx>
          <c:marker>
            <c:symbol val="circle"/>
            <c:size val="8"/>
          </c:marker>
          <c:xVal>
            <c:numRef>
              <c:f>'TO&amp;Landing Sensibility Analysis'!$A$31:$A$34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Analysis'!$D$31:$D$34</c:f>
              <c:numCache>
                <c:formatCode>0.00\ \m</c:formatCode>
                <c:ptCount val="4"/>
                <c:pt idx="0">
                  <c:v>2781.6448785415942</c:v>
                </c:pt>
                <c:pt idx="1">
                  <c:v>3109.6786168605672</c:v>
                </c:pt>
                <c:pt idx="2">
                  <c:v>3434.834871090346</c:v>
                </c:pt>
                <c:pt idx="3">
                  <c:v>3769.7568786654765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E-4DFF-A2B4-4B11560F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5984"/>
        <c:axId val="134426560"/>
      </c:scatterChart>
      <c:valAx>
        <c:axId val="134425984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34426560"/>
        <c:crosses val="autoZero"/>
        <c:crossBetween val="midCat"/>
      </c:valAx>
      <c:valAx>
        <c:axId val="134426560"/>
        <c:scaling>
          <c:orientation val="minMax"/>
          <c:max val="4200"/>
          <c:min val="26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134425984"/>
        <c:crosses val="autoZero"/>
        <c:crossBetween val="midCat"/>
        <c:majorUnit val="200"/>
        <c:minorUnit val="50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T/W=0.299 Statistical Field Length</c:v>
          </c:tx>
          <c:marker>
            <c:symbol val="none"/>
          </c:marker>
          <c:xVal>
            <c:numRef>
              <c:f>'TO&amp;Landing Sensibility Analysis'!$A$39:$A$42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Analysis'!$F$39:$F$42</c:f>
              <c:numCache>
                <c:formatCode>0.00\ \m</c:formatCode>
                <c:ptCount val="4"/>
                <c:pt idx="0">
                  <c:v>2349.9311061533826</c:v>
                </c:pt>
                <c:pt idx="1">
                  <c:v>2611.0345623926478</c:v>
                </c:pt>
                <c:pt idx="2">
                  <c:v>2872.1380186319125</c:v>
                </c:pt>
                <c:pt idx="3">
                  <c:v>3133.2414748711776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6-4AF0-8B37-38A728D0F2E7}"/>
            </c:ext>
          </c:extLst>
        </c:ser>
        <c:ser>
          <c:idx val="1"/>
          <c:order val="1"/>
          <c:tx>
            <c:v>T/W=0.299 JPAD</c:v>
          </c:tx>
          <c:marker>
            <c:symbol val="circle"/>
            <c:size val="8"/>
          </c:marker>
          <c:xVal>
            <c:numRef>
              <c:f>'TO&amp;Landing Sensibility Analysis'!$A$39:$A$42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Analysis'!$D$39:$D$42</c:f>
              <c:numCache>
                <c:formatCode>0.00\ \m</c:formatCode>
                <c:ptCount val="4"/>
                <c:pt idx="0">
                  <c:v>2240.6240747311585</c:v>
                </c:pt>
                <c:pt idx="1">
                  <c:v>2494.9067645757868</c:v>
                </c:pt>
                <c:pt idx="2">
                  <c:v>2748.8676942579182</c:v>
                </c:pt>
                <c:pt idx="3">
                  <c:v>3011.3590650064625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6-4AF0-8B37-38A728D0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8288"/>
        <c:axId val="134428864"/>
      </c:scatterChart>
      <c:valAx>
        <c:axId val="134428288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134428864"/>
        <c:crosses val="autoZero"/>
        <c:crossBetween val="midCat"/>
      </c:valAx>
      <c:valAx>
        <c:axId val="134428864"/>
        <c:scaling>
          <c:orientation val="minMax"/>
          <c:max val="3400"/>
          <c:min val="2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1344282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T/W=0.313 Statistical Field Length</c:v>
          </c:tx>
          <c:marker>
            <c:symbol val="none"/>
          </c:marker>
          <c:xVal>
            <c:numRef>
              <c:f>'TO&amp;Landing Sensibility Analysis'!$A$43:$A$46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Analysis'!$F$43:$F$46</c:f>
              <c:numCache>
                <c:formatCode>0.00\ \m</c:formatCode>
                <c:ptCount val="4"/>
                <c:pt idx="0">
                  <c:v>2154.1035139739342</c:v>
                </c:pt>
                <c:pt idx="1">
                  <c:v>2393.4483488599271</c:v>
                </c:pt>
                <c:pt idx="2">
                  <c:v>2632.7931837459196</c:v>
                </c:pt>
                <c:pt idx="3">
                  <c:v>2872.1380186319125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8-4181-A2A0-232EA5A360E7}"/>
            </c:ext>
          </c:extLst>
        </c:ser>
        <c:ser>
          <c:idx val="1"/>
          <c:order val="1"/>
          <c:tx>
            <c:v>T/W=0.313 JPAD</c:v>
          </c:tx>
          <c:marker>
            <c:symbol val="circle"/>
            <c:size val="8"/>
          </c:marker>
          <c:xVal>
            <c:numRef>
              <c:f>'TO&amp;Landing Sensibility Analysis'!$A$43:$A$46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Analysis'!$D$43:$D$46</c:f>
              <c:numCache>
                <c:formatCode>0.00\ \m</c:formatCode>
                <c:ptCount val="4"/>
                <c:pt idx="0">
                  <c:v>2052.3765429663063</c:v>
                </c:pt>
                <c:pt idx="1">
                  <c:v>2281.5733199197298</c:v>
                </c:pt>
                <c:pt idx="2">
                  <c:v>2510.4818882344475</c:v>
                </c:pt>
                <c:pt idx="3">
                  <c:v>2745.2529972041425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8-4181-A2A0-232EA5A3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4480"/>
        <c:axId val="234005056"/>
      </c:scatterChart>
      <c:valAx>
        <c:axId val="234004480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34005056"/>
        <c:crosses val="autoZero"/>
        <c:crossBetween val="midCat"/>
      </c:valAx>
      <c:valAx>
        <c:axId val="234005056"/>
        <c:scaling>
          <c:orientation val="minMax"/>
          <c:max val="3150"/>
          <c:min val="19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234004480"/>
        <c:crosses val="autoZero"/>
        <c:crossBetween val="midCat"/>
        <c:majorUnit val="200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T/W=0.272 Statistical Field Length</c:v>
          </c:tx>
          <c:marker>
            <c:symbol val="none"/>
          </c:marker>
          <c:xVal>
            <c:numRef>
              <c:f>'TO&amp;Landing Sensibility Analysis'!$A$35:$A$38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Analysis'!$F$35:$F$38</c:f>
              <c:numCache>
                <c:formatCode>0.00\ \m</c:formatCode>
                <c:ptCount val="4"/>
                <c:pt idx="0">
                  <c:v>2584.9242167687216</c:v>
                </c:pt>
                <c:pt idx="1">
                  <c:v>2872.1380186319129</c:v>
                </c:pt>
                <c:pt idx="2">
                  <c:v>3159.3518204951038</c:v>
                </c:pt>
                <c:pt idx="3">
                  <c:v>3446.565622358296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88C-BBD6-19E56C35DB60}"/>
            </c:ext>
          </c:extLst>
        </c:ser>
        <c:ser>
          <c:idx val="1"/>
          <c:order val="1"/>
          <c:tx>
            <c:v>T/W=0.272 JPAD</c:v>
          </c:tx>
          <c:marker>
            <c:symbol val="circle"/>
            <c:size val="8"/>
          </c:marker>
          <c:xVal>
            <c:numRef>
              <c:f>'TO&amp;Landing Sensibility Analysis'!$A$35:$A$38</c:f>
              <c:numCache>
                <c:formatCode>0\ \l\b\/\f\t\^\2</c:formatCode>
                <c:ptCount val="4"/>
                <c:pt idx="0">
                  <c:v>122.71969285362034</c:v>
                </c:pt>
                <c:pt idx="1">
                  <c:v>136.35521428180039</c:v>
                </c:pt>
                <c:pt idx="2">
                  <c:v>149.99073570998041</c:v>
                </c:pt>
                <c:pt idx="3">
                  <c:v>163.62625713816047</c:v>
                </c:pt>
              </c:numCache>
            </c:numRef>
          </c:xVal>
          <c:yVal>
            <c:numRef>
              <c:f>'TO&amp;Landing Sensibility Analysis'!$D$35:$D$38</c:f>
              <c:numCache>
                <c:formatCode>0.00\ \m</c:formatCode>
                <c:ptCount val="4"/>
                <c:pt idx="0">
                  <c:v>2477.090414790744</c:v>
                </c:pt>
                <c:pt idx="1">
                  <c:v>2763.6718783942492</c:v>
                </c:pt>
                <c:pt idx="2">
                  <c:v>3049.8101204815393</c:v>
                </c:pt>
                <c:pt idx="3">
                  <c:v>3342.8821701878692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9-488C-BBD6-19E56C35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6784"/>
        <c:axId val="234007360"/>
      </c:scatterChart>
      <c:valAx>
        <c:axId val="234006784"/>
        <c:scaling>
          <c:orientation val="minMax"/>
          <c:max val="175"/>
          <c:min val="1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="1" i="0" baseline="0">
                    <a:effectLst/>
                  </a:rPr>
                  <a:t>W/S (lb/ft^2)</a:t>
                </a:r>
                <a:endParaRPr lang="it-IT" sz="14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34007360"/>
        <c:crosses val="autoZero"/>
        <c:crossBetween val="midCat"/>
      </c:valAx>
      <c:valAx>
        <c:axId val="234007360"/>
        <c:scaling>
          <c:orientation val="minMax"/>
          <c:max val="3800"/>
          <c:min val="2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TO</a:t>
                </a:r>
                <a:r>
                  <a:rPr lang="it-IT" sz="1400" baseline="0"/>
                  <a:t>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234006784"/>
        <c:crosses val="autoZero"/>
        <c:crossBetween val="midCat"/>
        <c:majorUnit val="200"/>
        <c:minorUnit val="50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 Field Length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'TO&amp;Landing Sensibility Analysis'!$A$51:$A$53</c:f>
              <c:numCache>
                <c:formatCode>0\ \l\b\/\f\t\^\2</c:formatCode>
                <c:ptCount val="3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</c:numCache>
            </c:numRef>
          </c:xVal>
          <c:yVal>
            <c:numRef>
              <c:f>'TO&amp;Landing Sensibility Analysis'!$J$51:$J$53</c:f>
              <c:numCache>
                <c:formatCode>0.00\ \m</c:formatCode>
                <c:ptCount val="3"/>
                <c:pt idx="0">
                  <c:v>1855.1858326907231</c:v>
                </c:pt>
                <c:pt idx="1">
                  <c:v>2061.3175918785732</c:v>
                </c:pt>
                <c:pt idx="2">
                  <c:v>2269.2187223899414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B-4A34-B341-61B2C0754780}"/>
            </c:ext>
          </c:extLst>
        </c:ser>
        <c:ser>
          <c:idx val="1"/>
          <c:order val="1"/>
          <c:tx>
            <c:v>CLmax=2.37 JPAD</c:v>
          </c:tx>
          <c:spPr>
            <a:ln w="28575">
              <a:solidFill>
                <a:srgbClr val="C00000"/>
              </a:solidFill>
            </a:ln>
          </c:spPr>
          <c:xVal>
            <c:numRef>
              <c:f>'TO&amp;Landing Sensibility Analysis'!$A$51:$A$53</c:f>
              <c:numCache>
                <c:formatCode>0\ \l\b\/\f\t\^\2</c:formatCode>
                <c:ptCount val="3"/>
                <c:pt idx="0">
                  <c:v>96.3</c:v>
                </c:pt>
                <c:pt idx="1">
                  <c:v>107</c:v>
                </c:pt>
                <c:pt idx="2">
                  <c:v>117.7</c:v>
                </c:pt>
              </c:numCache>
            </c:numRef>
          </c:xVal>
          <c:yVal>
            <c:numRef>
              <c:f>'TO&amp;Landing Sensibility Analysis'!$E$51:$E$53</c:f>
              <c:numCache>
                <c:formatCode>0.00\ \m</c:formatCode>
                <c:ptCount val="3"/>
                <c:pt idx="0">
                  <c:v>1935.5819724348544</c:v>
                </c:pt>
                <c:pt idx="1">
                  <c:v>2080.177438762159</c:v>
                </c:pt>
                <c:pt idx="2">
                  <c:v>2224.8616663774378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B-4A34-B341-61B2C075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9088"/>
        <c:axId val="234009664"/>
      </c:scatterChart>
      <c:valAx>
        <c:axId val="234009088"/>
        <c:scaling>
          <c:orientation val="minMax"/>
          <c:max val="125"/>
          <c:min val="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W/S (lb/ft^2)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34009664"/>
        <c:crosses val="autoZero"/>
        <c:crossBetween val="midCat"/>
      </c:valAx>
      <c:valAx>
        <c:axId val="234009664"/>
        <c:scaling>
          <c:orientation val="minMax"/>
          <c:max val="2300"/>
          <c:min val="17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aseline="0"/>
                  <a:t>Landing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234009088"/>
        <c:crosses val="autoZero"/>
        <c:crossBetween val="midCat"/>
        <c:majorUnit val="100"/>
        <c:minorUnit val="50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Statistical Field Length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'TO&amp;Landing Sensibility Analysis'!$H$51:$H$53</c:f>
              <c:numCache>
                <c:formatCode>0\ \k\t\s\^\2</c:formatCode>
                <c:ptCount val="3"/>
                <c:pt idx="0">
                  <c:v>20288.558975182888</c:v>
                </c:pt>
                <c:pt idx="1">
                  <c:v>22542.843305758677</c:v>
                </c:pt>
                <c:pt idx="2">
                  <c:v>24816.47771642543</c:v>
                </c:pt>
              </c:numCache>
            </c:numRef>
          </c:xVal>
          <c:yVal>
            <c:numRef>
              <c:f>'TO&amp;Landing Sensibility Analysis'!$J$51:$J$53</c:f>
              <c:numCache>
                <c:formatCode>0.00\ \m</c:formatCode>
                <c:ptCount val="3"/>
                <c:pt idx="0">
                  <c:v>1855.1858326907231</c:v>
                </c:pt>
                <c:pt idx="1">
                  <c:v>2061.3175918785732</c:v>
                </c:pt>
                <c:pt idx="2">
                  <c:v>2269.2187223899414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7-4560-B8F2-40E3F0E08843}"/>
            </c:ext>
          </c:extLst>
        </c:ser>
        <c:ser>
          <c:idx val="1"/>
          <c:order val="1"/>
          <c:tx>
            <c:v>CLmax=2.37 JPAD</c:v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</c:marker>
          <c:xVal>
            <c:numRef>
              <c:f>'TO&amp;Landing Sensibility Analysis'!$H$51:$H$53</c:f>
              <c:numCache>
                <c:formatCode>0\ \k\t\s\^\2</c:formatCode>
                <c:ptCount val="3"/>
                <c:pt idx="0">
                  <c:v>20288.558975182888</c:v>
                </c:pt>
                <c:pt idx="1">
                  <c:v>22542.843305758677</c:v>
                </c:pt>
                <c:pt idx="2">
                  <c:v>24816.47771642543</c:v>
                </c:pt>
              </c:numCache>
            </c:numRef>
          </c:xVal>
          <c:yVal>
            <c:numRef>
              <c:f>'TO&amp;Landing Sensibility Analysis'!$E$51:$E$53</c:f>
              <c:numCache>
                <c:formatCode>0.00\ \m</c:formatCode>
                <c:ptCount val="3"/>
                <c:pt idx="0">
                  <c:v>1935.5819724348544</c:v>
                </c:pt>
                <c:pt idx="1">
                  <c:v>2080.177438762159</c:v>
                </c:pt>
                <c:pt idx="2">
                  <c:v>2224.8616663774378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7-4560-B8F2-40E3F0E08843}"/>
            </c:ext>
          </c:extLst>
        </c:ser>
        <c:ser>
          <c:idx val="2"/>
          <c:order val="2"/>
          <c:tx>
            <c:strRef>
              <c:f>'TO&amp;Landing Sensibility Analysis'!$B$56</c:f>
              <c:strCache>
                <c:ptCount val="1"/>
                <c:pt idx="0">
                  <c:v>B777-200LR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'TO&amp;Landing Sensibility Analysis'!$B$61</c:f>
              <c:numCache>
                <c:formatCode>0\ \k\t\s\^\2</c:formatCode>
                <c:ptCount val="1"/>
                <c:pt idx="0">
                  <c:v>19600</c:v>
                </c:pt>
              </c:numCache>
            </c:numRef>
          </c:xVal>
          <c:yVal>
            <c:numRef>
              <c:f>'TO&amp;Landing Sensibility Analysis'!$B$62</c:f>
              <c:numCache>
                <c:formatCode>0.0\ \m</c:formatCode>
                <c:ptCount val="1"/>
                <c:pt idx="0">
                  <c:v>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7-4560-B8F2-40E3F0E08843}"/>
            </c:ext>
          </c:extLst>
        </c:ser>
        <c:ser>
          <c:idx val="3"/>
          <c:order val="3"/>
          <c:tx>
            <c:strRef>
              <c:f>'TO&amp;Landing Sensibility Analysis'!$C$56</c:f>
              <c:strCache>
                <c:ptCount val="1"/>
                <c:pt idx="0">
                  <c:v>B787-8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'TO&amp;Landing Sensibility Analysis'!$C$61</c:f>
              <c:numCache>
                <c:formatCode>0\ \k\t\s\^\2</c:formatCode>
                <c:ptCount val="1"/>
                <c:pt idx="0">
                  <c:v>19600</c:v>
                </c:pt>
              </c:numCache>
            </c:numRef>
          </c:xVal>
          <c:yVal>
            <c:numRef>
              <c:f>'TO&amp;Landing Sensibility Analysis'!$C$62</c:f>
              <c:numCache>
                <c:formatCode>0.0\ \m</c:formatCode>
                <c:ptCount val="1"/>
                <c:pt idx="0">
                  <c:v>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7-4560-B8F2-40E3F0E08843}"/>
            </c:ext>
          </c:extLst>
        </c:ser>
        <c:ser>
          <c:idx val="4"/>
          <c:order val="4"/>
          <c:tx>
            <c:strRef>
              <c:f>'TO&amp;Landing Sensibility Analysis'!$D$56</c:f>
              <c:strCache>
                <c:ptCount val="1"/>
                <c:pt idx="0">
                  <c:v>A321-200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'TO&amp;Landing Sensibility Analysis'!$D$61</c:f>
              <c:numCache>
                <c:formatCode>0\ \k\t\s\^\2</c:formatCode>
                <c:ptCount val="1"/>
                <c:pt idx="0">
                  <c:v>20736</c:v>
                </c:pt>
              </c:numCache>
            </c:numRef>
          </c:xVal>
          <c:yVal>
            <c:numRef>
              <c:f>'TO&amp;Landing Sensibility Analysis'!$D$62</c:f>
              <c:numCache>
                <c:formatCode>0.0\ \m</c:formatCode>
                <c:ptCount val="1"/>
                <c:pt idx="0">
                  <c:v>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7-4560-B8F2-40E3F0E08843}"/>
            </c:ext>
          </c:extLst>
        </c:ser>
        <c:ser>
          <c:idx val="5"/>
          <c:order val="5"/>
          <c:tx>
            <c:strRef>
              <c:f>'TO&amp;Landing Sensibility Analysis'!$E$56</c:f>
              <c:strCache>
                <c:ptCount val="1"/>
                <c:pt idx="0">
                  <c:v>A380-800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'TO&amp;Landing Sensibility Analysis'!$E$61</c:f>
              <c:numCache>
                <c:formatCode>0\ \k\t\s\^\2</c:formatCode>
                <c:ptCount val="1"/>
                <c:pt idx="0">
                  <c:v>19881</c:v>
                </c:pt>
              </c:numCache>
            </c:numRef>
          </c:xVal>
          <c:yVal>
            <c:numRef>
              <c:f>'TO&amp;Landing Sensibility Analysis'!$E$62</c:f>
              <c:numCache>
                <c:formatCode>0.0\ \m</c:formatCode>
                <c:ptCount val="1"/>
                <c:pt idx="0">
                  <c:v>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7-4560-B8F2-40E3F0E0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44896"/>
        <c:axId val="235145472"/>
      </c:scatterChart>
      <c:valAx>
        <c:axId val="235144896"/>
        <c:scaling>
          <c:orientation val="minMax"/>
          <c:min val="18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/>
                  <a:t>Va^2 (kts^2)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it-IT"/>
          </a:p>
        </c:txPr>
        <c:crossAx val="235145472"/>
        <c:crosses val="autoZero"/>
        <c:crossBetween val="midCat"/>
      </c:valAx>
      <c:valAx>
        <c:axId val="235145472"/>
        <c:scaling>
          <c:orientation val="minMax"/>
          <c:max val="2350"/>
          <c:min val="15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it-IT" sz="1400" baseline="0"/>
                  <a:t>Landing Field Length</a:t>
                </a:r>
                <a:endParaRPr lang="it-IT" sz="1400"/>
              </a:p>
            </c:rich>
          </c:tx>
          <c:overlay val="0"/>
        </c:title>
        <c:numFmt formatCode="0.00\ \m" sourceLinked="1"/>
        <c:majorTickMark val="out"/>
        <c:minorTickMark val="none"/>
        <c:tickLblPos val="nextTo"/>
        <c:crossAx val="235144896"/>
        <c:crosses val="autoZero"/>
        <c:crossBetween val="midCat"/>
        <c:majorUnit val="100"/>
        <c:minorUnit val="50"/>
      </c:valAx>
    </c:plotArea>
    <c:legend>
      <c:legendPos val="r"/>
      <c:overlay val="0"/>
      <c:txPr>
        <a:bodyPr/>
        <a:lstStyle/>
        <a:p>
          <a:pPr>
            <a:defRPr sz="18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257628</xdr:colOff>
      <xdr:row>1</xdr:row>
      <xdr:rowOff>14515</xdr:rowOff>
    </xdr:from>
    <xdr:to>
      <xdr:col>10</xdr:col>
      <xdr:colOff>356688</xdr:colOff>
      <xdr:row>27</xdr:row>
      <xdr:rowOff>55336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255979</xdr:colOff>
      <xdr:row>27</xdr:row>
      <xdr:rowOff>131947</xdr:rowOff>
    </xdr:from>
    <xdr:to>
      <xdr:col>10</xdr:col>
      <xdr:colOff>355039</xdr:colOff>
      <xdr:row>54</xdr:row>
      <xdr:rowOff>135164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448459</xdr:colOff>
      <xdr:row>27</xdr:row>
      <xdr:rowOff>113145</xdr:rowOff>
    </xdr:from>
    <xdr:to>
      <xdr:col>20</xdr:col>
      <xdr:colOff>547519</xdr:colOff>
      <xdr:row>54</xdr:row>
      <xdr:rowOff>132195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442686</xdr:colOff>
      <xdr:row>0</xdr:row>
      <xdr:rowOff>166914</xdr:rowOff>
    </xdr:from>
    <xdr:to>
      <xdr:col>20</xdr:col>
      <xdr:colOff>541746</xdr:colOff>
      <xdr:row>27</xdr:row>
      <xdr:rowOff>29935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524740</xdr:colOff>
      <xdr:row>0</xdr:row>
      <xdr:rowOff>138545</xdr:rowOff>
    </xdr:from>
    <xdr:to>
      <xdr:col>33</xdr:col>
      <xdr:colOff>41563</xdr:colOff>
      <xdr:row>27</xdr:row>
      <xdr:rowOff>157595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601133</xdr:colOff>
      <xdr:row>15</xdr:row>
      <xdr:rowOff>67733</xdr:rowOff>
    </xdr:from>
    <xdr:to>
      <xdr:col>4</xdr:col>
      <xdr:colOff>601133</xdr:colOff>
      <xdr:row>21</xdr:row>
      <xdr:rowOff>42333</xdr:rowOff>
    </xdr:to>
    <xdr:cxnSp macro="">
      <xdr:nvCxnSpPr>
        <xdr:cNvPr id="10" name="Connettore 1 9"/>
        <xdr:cNvCxnSpPr/>
      </xdr:nvCxnSpPr>
      <xdr:spPr>
        <a:xfrm flipV="1">
          <a:off x="3039533" y="2861733"/>
          <a:ext cx="0" cy="109220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106385</xdr:colOff>
      <xdr:row>16</xdr:row>
      <xdr:rowOff>22497</xdr:rowOff>
    </xdr:from>
    <xdr:to>
      <xdr:col>5</xdr:col>
      <xdr:colOff>21719</xdr:colOff>
      <xdr:row>16</xdr:row>
      <xdr:rowOff>22497</xdr:rowOff>
    </xdr:to>
    <xdr:cxnSp macro="">
      <xdr:nvCxnSpPr>
        <xdr:cNvPr id="11" name="Connettore 1 10"/>
        <xdr:cNvCxnSpPr/>
      </xdr:nvCxnSpPr>
      <xdr:spPr>
        <a:xfrm>
          <a:off x="1325585" y="2904242"/>
          <a:ext cx="1744134" cy="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</xdr:colOff>
      <xdr:row>15</xdr:row>
      <xdr:rowOff>47727</xdr:rowOff>
    </xdr:from>
    <xdr:to>
      <xdr:col>5</xdr:col>
      <xdr:colOff>8467</xdr:colOff>
      <xdr:row>15</xdr:row>
      <xdr:rowOff>47727</xdr:rowOff>
    </xdr:to>
    <xdr:cxnSp macro="">
      <xdr:nvCxnSpPr>
        <xdr:cNvPr id="13" name="Connettore 1 12"/>
        <xdr:cNvCxnSpPr/>
      </xdr:nvCxnSpPr>
      <xdr:spPr>
        <a:xfrm>
          <a:off x="1312333" y="2749363"/>
          <a:ext cx="1744134" cy="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606425</xdr:colOff>
      <xdr:row>0</xdr:row>
      <xdr:rowOff>133350</xdr:rowOff>
    </xdr:from>
    <xdr:to>
      <xdr:col>45</xdr:col>
      <xdr:colOff>581025</xdr:colOff>
      <xdr:row>27</xdr:row>
      <xdr:rowOff>152400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0.45069</cdr:x>
      <cdr:y>0.53235</cdr:y>
    </cdr:from>
    <cdr:to>
      <cdr:x>0.45069</cdr:x>
      <cdr:y>0.77188</cdr:y>
    </cdr:to>
    <cdr:cxnSp macro="">
      <cdr:nvCxnSpPr>
        <cdr:cNvPr id="2" name="Connettore 1 1"/>
        <cdr:cNvCxnSpPr/>
      </cdr:nvCxnSpPr>
      <cdr:spPr>
        <a:xfrm xmlns:a="http://schemas.openxmlformats.org/drawingml/2006/main" flipH="1" flipV="1">
          <a:off x="2792021" y="2678986"/>
          <a:ext cx="31" cy="1205436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0.17493</cdr:x>
      <cdr:y>0.58841</cdr:y>
    </cdr:from>
    <cdr:to>
      <cdr:x>0.45647</cdr:x>
      <cdr:y>0.58841</cdr:y>
    </cdr:to>
    <cdr:cxnSp macro="">
      <cdr:nvCxnSpPr>
        <cdr:cNvPr id="4" name="Connettore 1 3"/>
        <cdr:cNvCxnSpPr/>
      </cdr:nvCxnSpPr>
      <cdr:spPr>
        <a:xfrm xmlns:a="http://schemas.openxmlformats.org/drawingml/2006/main">
          <a:off x="1083723" y="2961102"/>
          <a:ext cx="1744158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0.17357</cdr:x>
      <cdr:y>0.53502</cdr:y>
    </cdr:from>
    <cdr:to>
      <cdr:x>0.45511</cdr:x>
      <cdr:y>0.53502</cdr:y>
    </cdr:to>
    <cdr:cxnSp macro="">
      <cdr:nvCxnSpPr>
        <cdr:cNvPr id="5" name="Connettore 1 4"/>
        <cdr:cNvCxnSpPr/>
      </cdr:nvCxnSpPr>
      <cdr:spPr>
        <a:xfrm xmlns:a="http://schemas.openxmlformats.org/drawingml/2006/main">
          <a:off x="1075256" y="2692420"/>
          <a:ext cx="1744158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0.45067</cdr:x>
      <cdr:y>0.5562</cdr:y>
    </cdr:from>
    <cdr:to>
      <cdr:x>0.45105</cdr:x>
      <cdr:y>0.77451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791929" y="2807855"/>
          <a:ext cx="2345" cy="1102065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0.17583</cdr:x>
      <cdr:y>0.55435</cdr:y>
    </cdr:from>
    <cdr:to>
      <cdr:x>0.44842</cdr:x>
      <cdr:y>0.55467</cdr:y>
    </cdr:to>
    <cdr:cxnSp macro="">
      <cdr:nvCxnSpPr>
        <cdr:cNvPr id="3" name="Connettore 1 2"/>
        <cdr:cNvCxnSpPr/>
      </cdr:nvCxnSpPr>
      <cdr:spPr>
        <a:xfrm xmlns:a="http://schemas.openxmlformats.org/drawingml/2006/main" flipV="1">
          <a:off x="1089257" y="2798491"/>
          <a:ext cx="1688712" cy="1615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0.17436</cdr:x>
      <cdr:y>0.60558</cdr:y>
    </cdr:from>
    <cdr:to>
      <cdr:x>0.4559</cdr:x>
      <cdr:y>0.60558</cdr:y>
    </cdr:to>
    <cdr:cxnSp macro="">
      <cdr:nvCxnSpPr>
        <cdr:cNvPr id="4" name="Connettore 1 3"/>
        <cdr:cNvCxnSpPr/>
      </cdr:nvCxnSpPr>
      <cdr:spPr>
        <a:xfrm xmlns:a="http://schemas.openxmlformats.org/drawingml/2006/main">
          <a:off x="1080150" y="3057134"/>
          <a:ext cx="1744158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0.45024</cdr:x>
      <cdr:y>0.56641</cdr:y>
    </cdr:from>
    <cdr:to>
      <cdr:x>0.45198</cdr:x>
      <cdr:y>0.76963</cdr:y>
    </cdr:to>
    <cdr:cxnSp macro="">
      <cdr:nvCxnSpPr>
        <cdr:cNvPr id="2" name="Connettore 1 1"/>
        <cdr:cNvCxnSpPr/>
      </cdr:nvCxnSpPr>
      <cdr:spPr>
        <a:xfrm xmlns:a="http://schemas.openxmlformats.org/drawingml/2006/main" flipV="1">
          <a:off x="2789264" y="2771019"/>
          <a:ext cx="10783" cy="994182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0.17499</cdr:x>
      <cdr:y>0.5652</cdr:y>
    </cdr:from>
    <cdr:to>
      <cdr:x>0.45652</cdr:x>
      <cdr:y>0.5652</cdr:y>
    </cdr:to>
    <cdr:cxnSp macro="">
      <cdr:nvCxnSpPr>
        <cdr:cNvPr id="7" name="Connettore 1 6"/>
        <cdr:cNvCxnSpPr/>
      </cdr:nvCxnSpPr>
      <cdr:spPr>
        <a:xfrm xmlns:a="http://schemas.openxmlformats.org/drawingml/2006/main">
          <a:off x="1084053" y="2765076"/>
          <a:ext cx="1744096" cy="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0.17406</cdr:x>
      <cdr:y>0.61011</cdr:y>
    </cdr:from>
    <cdr:to>
      <cdr:x>0.45156</cdr:x>
      <cdr:y>0.61133</cdr:y>
    </cdr:to>
    <cdr:cxnSp macro="">
      <cdr:nvCxnSpPr>
        <cdr:cNvPr id="8" name="Connettore 1 7"/>
        <cdr:cNvCxnSpPr/>
      </cdr:nvCxnSpPr>
      <cdr:spPr>
        <a:xfrm xmlns:a="http://schemas.openxmlformats.org/drawingml/2006/main" flipV="1">
          <a:off x="1078312" y="2984774"/>
          <a:ext cx="1719129" cy="5968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0.55382</cdr:x>
      <cdr:y>0.40861</cdr:y>
    </cdr:from>
    <cdr:to>
      <cdr:x>0.55529</cdr:x>
      <cdr:y>0.77163</cdr:y>
    </cdr:to>
    <cdr:cxnSp macro="">
      <cdr:nvCxnSpPr>
        <cdr:cNvPr id="2" name="Connettore 1 1"/>
        <cdr:cNvCxnSpPr/>
      </cdr:nvCxnSpPr>
      <cdr:spPr>
        <a:xfrm xmlns:a="http://schemas.openxmlformats.org/drawingml/2006/main" flipH="1" flipV="1">
          <a:off x="3446127" y="2062788"/>
          <a:ext cx="9122" cy="1832593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0.17546</cdr:x>
      <cdr:y>0.40891</cdr:y>
    </cdr:from>
    <cdr:to>
      <cdr:x>0.55426</cdr:x>
      <cdr:y>0.40906</cdr:y>
    </cdr:to>
    <cdr:cxnSp macro="">
      <cdr:nvCxnSpPr>
        <cdr:cNvPr id="4" name="Connettore 1 3"/>
        <cdr:cNvCxnSpPr/>
      </cdr:nvCxnSpPr>
      <cdr:spPr>
        <a:xfrm xmlns:a="http://schemas.openxmlformats.org/drawingml/2006/main" flipV="1">
          <a:off x="1091790" y="2064257"/>
          <a:ext cx="2357054" cy="757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0.43819</cdr:x>
      <cdr:y>0.37119</cdr:y>
    </cdr:from>
    <cdr:to>
      <cdr:x>0.43946</cdr:x>
      <cdr:y>0.86247</cdr:y>
    </cdr:to>
    <cdr:cxnSp macro="">
      <cdr:nvCxnSpPr>
        <cdr:cNvPr id="2" name="Connettore 1 1"/>
        <cdr:cNvCxnSpPr/>
      </cdr:nvCxnSpPr>
      <cdr:spPr>
        <a:xfrm xmlns:a="http://schemas.openxmlformats.org/drawingml/2006/main" flipH="1" flipV="1">
          <a:off x="3194351" y="1873872"/>
          <a:ext cx="9224" cy="2480111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0.15026</cdr:x>
      <cdr:y>0.38281</cdr:y>
    </cdr:from>
    <cdr:to>
      <cdr:x>0.43714</cdr:x>
      <cdr:y>0.38354</cdr:y>
    </cdr:to>
    <cdr:cxnSp macro="">
      <cdr:nvCxnSpPr>
        <cdr:cNvPr id="3" name="Connettore 1 2"/>
        <cdr:cNvCxnSpPr/>
      </cdr:nvCxnSpPr>
      <cdr:spPr>
        <a:xfrm xmlns:a="http://schemas.openxmlformats.org/drawingml/2006/main" flipV="1">
          <a:off x="1095397" y="1932517"/>
          <a:ext cx="2091245" cy="3679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24" zoomScale="60" zoomScaleNormal="60" workbookViewId="0">
      <selection activeCell="C65" sqref="C65"/>
    </sheetView>
  </sheetViews>
  <sheetFormatPr defaultRowHeight="14.4" x14ac:dyDescent="0.3"/>
  <cols>
    <col min="1" max="1" width="27.77734375" bestFit="1" customWidth="1"/>
    <col min="2" max="2" width="22.77734375" customWidth="1"/>
    <col min="3" max="4" width="33.77734375" bestFit="1" customWidth="1"/>
    <col min="5" max="5" width="34.109375" bestFit="1" customWidth="1"/>
    <col min="6" max="6" width="24.6640625" customWidth="1"/>
    <col min="7" max="8" width="32.77734375" bestFit="1" customWidth="1"/>
    <col min="9" max="9" width="28.33203125" customWidth="1"/>
    <col min="10" max="10" width="28.88671875" bestFit="1" customWidth="1"/>
    <col min="11" max="11" width="17.109375" customWidth="1"/>
    <col min="12" max="12" width="32.77734375" bestFit="1" customWidth="1"/>
    <col min="13" max="13" width="28" bestFit="1" customWidth="1"/>
    <col min="14" max="14" width="11.33203125" bestFit="1" customWidth="1"/>
    <col min="15" max="15" width="16.33203125" bestFit="1" customWidth="1"/>
    <col min="16" max="16" width="24.6640625" bestFit="1" customWidth="1"/>
    <col min="17" max="17" width="24.6640625" customWidth="1"/>
    <col min="18" max="18" width="24.6640625" bestFit="1" customWidth="1"/>
    <col min="19" max="19" width="15.6640625" bestFit="1" customWidth="1"/>
  </cols>
  <sheetData>
    <row r="1" spans="1:14" ht="14.4" customHeight="1" x14ac:dyDescent="0.3">
      <c r="A1" s="158" t="s">
        <v>0</v>
      </c>
      <c r="B1" s="159"/>
      <c r="C1" s="159"/>
      <c r="D1" s="159"/>
      <c r="E1" s="159"/>
      <c r="F1" s="160"/>
    </row>
    <row r="2" spans="1:14" ht="15" customHeight="1" thickBot="1" x14ac:dyDescent="0.35">
      <c r="A2" s="161"/>
      <c r="B2" s="162"/>
      <c r="C2" s="162"/>
      <c r="D2" s="162"/>
      <c r="E2" s="162"/>
      <c r="F2" s="163"/>
      <c r="K2" s="30"/>
      <c r="L2" s="30"/>
      <c r="M2" s="30"/>
      <c r="N2" s="30"/>
    </row>
    <row r="3" spans="1:14" ht="15" customHeight="1" thickBot="1" x14ac:dyDescent="0.35">
      <c r="A3" s="128" t="s">
        <v>5</v>
      </c>
      <c r="B3" s="129"/>
      <c r="C3" s="129"/>
      <c r="D3" s="129"/>
      <c r="E3" s="129"/>
      <c r="F3" s="130"/>
      <c r="K3" s="94"/>
      <c r="L3" s="91"/>
      <c r="M3" s="91"/>
      <c r="N3" s="94"/>
    </row>
    <row r="4" spans="1:14" x14ac:dyDescent="0.3">
      <c r="A4" s="41" t="s">
        <v>24</v>
      </c>
      <c r="B4" s="180">
        <v>340194</v>
      </c>
      <c r="C4" s="181"/>
      <c r="D4" s="181"/>
      <c r="E4" s="181"/>
      <c r="F4" s="182"/>
      <c r="K4" s="93"/>
      <c r="L4" s="91"/>
      <c r="M4" s="91"/>
      <c r="N4" s="93"/>
    </row>
    <row r="5" spans="1:14" x14ac:dyDescent="0.3">
      <c r="A5" s="41" t="s">
        <v>25</v>
      </c>
      <c r="B5" s="183">
        <v>267916</v>
      </c>
      <c r="C5" s="184"/>
      <c r="D5" s="184"/>
      <c r="E5" s="184"/>
      <c r="F5" s="185"/>
      <c r="K5" s="95"/>
      <c r="L5" s="91"/>
      <c r="M5" s="91"/>
      <c r="N5" s="91"/>
    </row>
    <row r="6" spans="1:14" ht="15.6" x14ac:dyDescent="0.3">
      <c r="A6" s="41" t="s">
        <v>1</v>
      </c>
      <c r="B6" s="186">
        <v>511</v>
      </c>
      <c r="C6" s="187"/>
      <c r="D6" s="187"/>
      <c r="E6" s="187"/>
      <c r="F6" s="188"/>
      <c r="K6" s="30"/>
      <c r="L6" s="30"/>
      <c r="M6" s="91"/>
      <c r="N6" s="91"/>
    </row>
    <row r="7" spans="1:14" x14ac:dyDescent="0.3">
      <c r="A7" s="41" t="s">
        <v>14</v>
      </c>
      <c r="B7" s="189">
        <v>204000</v>
      </c>
      <c r="C7" s="190"/>
      <c r="D7" s="190"/>
      <c r="E7" s="190"/>
      <c r="F7" s="191"/>
      <c r="K7" s="91"/>
      <c r="L7" s="91"/>
      <c r="M7" s="91"/>
      <c r="N7" s="91"/>
    </row>
    <row r="8" spans="1:14" ht="15" thickBot="1" x14ac:dyDescent="0.35">
      <c r="A8" s="42" t="s">
        <v>11</v>
      </c>
      <c r="B8" s="174">
        <v>1</v>
      </c>
      <c r="C8" s="175"/>
      <c r="D8" s="175"/>
      <c r="E8" s="175"/>
      <c r="F8" s="176"/>
      <c r="K8" s="91"/>
      <c r="L8" s="91"/>
      <c r="M8" s="91"/>
      <c r="N8" s="91"/>
    </row>
    <row r="9" spans="1:14" x14ac:dyDescent="0.3">
      <c r="A9" s="43" t="s">
        <v>10</v>
      </c>
      <c r="B9" s="166">
        <v>1.9950000000000001</v>
      </c>
      <c r="C9" s="167"/>
      <c r="D9" s="167"/>
      <c r="E9" s="167"/>
      <c r="F9" s="168"/>
      <c r="K9" s="91"/>
      <c r="L9" s="91"/>
      <c r="M9" s="91"/>
      <c r="N9" s="91"/>
    </row>
    <row r="10" spans="1:14" x14ac:dyDescent="0.3">
      <c r="A10" s="42" t="s">
        <v>33</v>
      </c>
      <c r="B10" s="169">
        <v>20</v>
      </c>
      <c r="C10" s="169"/>
      <c r="D10" s="169"/>
      <c r="E10" s="169"/>
      <c r="F10" s="170"/>
      <c r="K10" s="91"/>
      <c r="L10" s="91"/>
      <c r="M10" s="91"/>
      <c r="N10" s="91"/>
    </row>
    <row r="11" spans="1:14" ht="15" thickBot="1" x14ac:dyDescent="0.35">
      <c r="A11" s="44" t="s">
        <v>36</v>
      </c>
      <c r="B11" s="135">
        <v>15</v>
      </c>
      <c r="C11" s="135"/>
      <c r="D11" s="135"/>
      <c r="E11" s="135"/>
      <c r="F11" s="136"/>
      <c r="K11" s="91"/>
      <c r="L11" s="91"/>
      <c r="M11" s="91"/>
      <c r="N11" s="91"/>
    </row>
    <row r="12" spans="1:14" x14ac:dyDescent="0.3">
      <c r="A12" s="41" t="s">
        <v>26</v>
      </c>
      <c r="B12" s="149">
        <v>2.37</v>
      </c>
      <c r="C12" s="150"/>
      <c r="D12" s="150"/>
      <c r="E12" s="150"/>
      <c r="F12" s="151"/>
      <c r="J12" s="91"/>
      <c r="K12" s="91"/>
      <c r="L12" s="91"/>
      <c r="M12" s="91"/>
    </row>
    <row r="13" spans="1:14" x14ac:dyDescent="0.3">
      <c r="A13" s="42" t="s">
        <v>35</v>
      </c>
      <c r="B13" s="152">
        <v>30</v>
      </c>
      <c r="C13" s="153"/>
      <c r="D13" s="153"/>
      <c r="E13" s="153"/>
      <c r="F13" s="154"/>
    </row>
    <row r="14" spans="1:14" ht="15" thickBot="1" x14ac:dyDescent="0.35">
      <c r="A14" s="44" t="s">
        <v>36</v>
      </c>
      <c r="B14" s="155">
        <v>25</v>
      </c>
      <c r="C14" s="156"/>
      <c r="D14" s="156"/>
      <c r="E14" s="156"/>
      <c r="F14" s="157"/>
    </row>
    <row r="15" spans="1:14" x14ac:dyDescent="0.3">
      <c r="A15" s="42" t="s">
        <v>34</v>
      </c>
      <c r="B15" s="171">
        <v>2</v>
      </c>
      <c r="C15" s="172"/>
      <c r="D15" s="172"/>
      <c r="E15" s="172"/>
      <c r="F15" s="173"/>
    </row>
    <row r="16" spans="1:14" x14ac:dyDescent="0.3">
      <c r="A16" s="42" t="s">
        <v>27</v>
      </c>
      <c r="B16" s="174">
        <v>0.03</v>
      </c>
      <c r="C16" s="175"/>
      <c r="D16" s="175"/>
      <c r="E16" s="175"/>
      <c r="F16" s="176"/>
    </row>
    <row r="17" spans="1:19" ht="15" thickBot="1" x14ac:dyDescent="0.35">
      <c r="A17" s="44" t="s">
        <v>28</v>
      </c>
      <c r="B17" s="177">
        <v>0.4</v>
      </c>
      <c r="C17" s="178"/>
      <c r="D17" s="178"/>
      <c r="E17" s="178"/>
      <c r="F17" s="179"/>
    </row>
    <row r="18" spans="1:19" x14ac:dyDescent="0.3">
      <c r="A18" s="7" t="s">
        <v>29</v>
      </c>
      <c r="B18" s="137">
        <f>$B$4/$B$6</f>
        <v>665.74168297455969</v>
      </c>
      <c r="C18" s="138"/>
      <c r="D18" s="139"/>
      <c r="E18" s="164">
        <f>$B$18*0.204817</f>
        <v>136.35521428180039</v>
      </c>
      <c r="F18" s="165"/>
    </row>
    <row r="19" spans="1:19" x14ac:dyDescent="0.3">
      <c r="A19" s="7" t="s">
        <v>30</v>
      </c>
      <c r="B19" s="140">
        <f>$B$5/$B$6</f>
        <v>524.29745596868884</v>
      </c>
      <c r="C19" s="141"/>
      <c r="D19" s="142"/>
      <c r="E19" s="133">
        <f>$B$19*0.204817</f>
        <v>107.38503203913893</v>
      </c>
      <c r="F19" s="134"/>
    </row>
    <row r="20" spans="1:19" ht="15" thickBot="1" x14ac:dyDescent="0.35">
      <c r="A20" s="1" t="s">
        <v>4</v>
      </c>
      <c r="B20" s="143">
        <f>($B$7)/$B$4</f>
        <v>0.59965784228998753</v>
      </c>
      <c r="C20" s="144"/>
      <c r="D20" s="145"/>
      <c r="E20" s="131">
        <f>$B$7/(B4*2.20462)</f>
        <v>0.2720005453502134</v>
      </c>
      <c r="F20" s="132"/>
    </row>
    <row r="21" spans="1:19" ht="16.2" thickBot="1" x14ac:dyDescent="0.35">
      <c r="A21" s="128" t="s">
        <v>32</v>
      </c>
      <c r="B21" s="129"/>
      <c r="C21" s="129"/>
      <c r="D21" s="130"/>
      <c r="E21" s="128" t="s">
        <v>31</v>
      </c>
      <c r="F21" s="130"/>
      <c r="G21" s="30"/>
      <c r="H21" s="30"/>
    </row>
    <row r="22" spans="1:19" ht="15" thickBot="1" x14ac:dyDescent="0.35">
      <c r="A22" s="6" t="s">
        <v>3</v>
      </c>
      <c r="B22" s="6" t="s">
        <v>1</v>
      </c>
      <c r="C22" s="6" t="s">
        <v>4</v>
      </c>
      <c r="D22" s="6" t="s">
        <v>2</v>
      </c>
      <c r="E22" s="6" t="s">
        <v>3</v>
      </c>
      <c r="F22" s="6" t="s">
        <v>1</v>
      </c>
    </row>
    <row r="23" spans="1:19" ht="15" thickBot="1" x14ac:dyDescent="0.35">
      <c r="A23" s="3">
        <f>$E$18-0.1*$E$18</f>
        <v>122.71969285362034</v>
      </c>
      <c r="B23" s="2">
        <f>$B$4/($A$23/0.204817)</f>
        <v>567.77777777777783</v>
      </c>
      <c r="C23" s="105">
        <f>$E$20-0.1*$E$20</f>
        <v>0.24480049081519206</v>
      </c>
      <c r="D23" s="4">
        <f>$C$23*($B$4*2.20462)</f>
        <v>183600</v>
      </c>
      <c r="E23" s="3">
        <f>$E$24-0.1*$E$24</f>
        <v>96.646528835225041</v>
      </c>
      <c r="F23" s="2">
        <f>$B$5/($E$23/0.204817)</f>
        <v>567.77777777777783</v>
      </c>
    </row>
    <row r="24" spans="1:19" ht="15" thickBot="1" x14ac:dyDescent="0.35">
      <c r="A24" s="3">
        <f>$E$18</f>
        <v>136.35521428180039</v>
      </c>
      <c r="B24" s="2">
        <f>$B$4/($A$24/0.204817)</f>
        <v>511</v>
      </c>
      <c r="C24" s="105">
        <f>$E$20-0*$E$20</f>
        <v>0.2720005453502134</v>
      </c>
      <c r="D24" s="4">
        <f>$C$24*($B$4*2.20462)</f>
        <v>203999.99999999997</v>
      </c>
      <c r="E24" s="3">
        <f>$E$19</f>
        <v>107.38503203913893</v>
      </c>
      <c r="F24" s="2">
        <f>$B$5/($E$24/0.204817)</f>
        <v>511</v>
      </c>
      <c r="K24" s="26"/>
      <c r="L24" s="26"/>
      <c r="M24" s="26"/>
    </row>
    <row r="25" spans="1:19" ht="15" thickBot="1" x14ac:dyDescent="0.35">
      <c r="A25" s="3">
        <f>$E$18+0.1*$E$18</f>
        <v>149.99073570998041</v>
      </c>
      <c r="B25" s="2">
        <f>$B$4/($A$25/0.204817)</f>
        <v>464.54545454545456</v>
      </c>
      <c r="C25" s="105">
        <f>$E$20+0.1*$E$20</f>
        <v>0.29920059988523473</v>
      </c>
      <c r="D25" s="4">
        <f>$C$25*($B$4*2.20462)</f>
        <v>224399.99999999997</v>
      </c>
      <c r="E25" s="3">
        <f>$E$24+0.1*$E$24</f>
        <v>118.12353524305283</v>
      </c>
      <c r="F25" s="2">
        <f>$B$5/($E$25/0.204817)</f>
        <v>464.54545454545456</v>
      </c>
    </row>
    <row r="26" spans="1:19" ht="15" thickBot="1" x14ac:dyDescent="0.35">
      <c r="A26" s="3">
        <f>$E$18+0.2*$E$18</f>
        <v>163.62625713816047</v>
      </c>
      <c r="B26" s="2">
        <f>$B$4/($A$26/0.204817)</f>
        <v>425.83333333333331</v>
      </c>
      <c r="C26" s="105">
        <f>$E$20+0.2*$E$20</f>
        <v>0.32640065442025606</v>
      </c>
      <c r="D26" s="4">
        <f>$C$26*($B$4*2.20462)</f>
        <v>244799.99999999997</v>
      </c>
      <c r="E26" s="3">
        <f>$E$24+0.2*$E$24</f>
        <v>128.86203844696672</v>
      </c>
      <c r="F26" s="2">
        <f>$B$5/($E$26/0.204817)</f>
        <v>425.83333333333331</v>
      </c>
    </row>
    <row r="28" spans="1:19" ht="15" thickBot="1" x14ac:dyDescent="0.35"/>
    <row r="29" spans="1:19" ht="29.4" thickBot="1" x14ac:dyDescent="0.35">
      <c r="A29" s="125" t="s">
        <v>6</v>
      </c>
      <c r="B29" s="126"/>
      <c r="C29" s="126"/>
      <c r="D29" s="126"/>
      <c r="E29" s="126"/>
      <c r="F29" s="126"/>
      <c r="G29" s="126"/>
      <c r="H29" s="126"/>
      <c r="I29" s="127"/>
      <c r="S29" s="22"/>
    </row>
    <row r="30" spans="1:19" ht="15" thickBot="1" x14ac:dyDescent="0.35">
      <c r="A30" s="6" t="s">
        <v>3</v>
      </c>
      <c r="B30" s="6" t="s">
        <v>4</v>
      </c>
      <c r="C30" s="6" t="s">
        <v>7</v>
      </c>
      <c r="D30" s="6" t="s">
        <v>8</v>
      </c>
      <c r="E30" s="8" t="s">
        <v>9</v>
      </c>
      <c r="F30" s="8" t="s">
        <v>12</v>
      </c>
      <c r="G30" s="6" t="s">
        <v>13</v>
      </c>
      <c r="H30" s="45" t="s">
        <v>37</v>
      </c>
      <c r="I30" s="45" t="s">
        <v>13</v>
      </c>
      <c r="K30" s="27"/>
      <c r="L30" s="28"/>
      <c r="M30" s="27"/>
    </row>
    <row r="31" spans="1:19" ht="14.4" customHeight="1" thickTop="1" x14ac:dyDescent="0.3">
      <c r="A31" s="13">
        <f>$E$18-0.1*$E$18</f>
        <v>122.71969285362034</v>
      </c>
      <c r="B31" s="101">
        <f>$C$23</f>
        <v>0.24480049081519206</v>
      </c>
      <c r="C31" s="10">
        <v>2418.8216335144298</v>
      </c>
      <c r="D31" s="61">
        <f t="shared" ref="D31:D46" si="0">$C31*1.15</f>
        <v>2781.6448785415942</v>
      </c>
      <c r="E31" s="20">
        <f t="shared" ref="E31:E46" si="1">$A31/($B$8*$B$9*$B31)</f>
        <v>251.28066654697398</v>
      </c>
      <c r="F31" s="61">
        <f t="shared" ref="F31:F46" si="2">$E31*37.5*0.3048</f>
        <v>2872.1380186319125</v>
      </c>
      <c r="G31" s="68">
        <f t="shared" ref="G31:G46" si="3">ABS(($F31-$D31)/$F31)</f>
        <v>3.1507239381700393E-2</v>
      </c>
      <c r="H31" s="146">
        <v>3080</v>
      </c>
      <c r="I31" s="122">
        <f>ABS((H31-D36)/H31)</f>
        <v>0.10270393558628271</v>
      </c>
      <c r="J31" s="5"/>
    </row>
    <row r="32" spans="1:19" ht="14.4" customHeight="1" x14ac:dyDescent="0.3">
      <c r="A32" s="13">
        <f>$E$18</f>
        <v>136.35521428180039</v>
      </c>
      <c r="B32" s="101">
        <f>$C$23</f>
        <v>0.24480049081519206</v>
      </c>
      <c r="C32" s="10">
        <v>2704.06836248745</v>
      </c>
      <c r="D32" s="61">
        <f t="shared" si="0"/>
        <v>3109.6786168605672</v>
      </c>
      <c r="E32" s="20">
        <f>$A32/($B$8*$B$9*$B32)</f>
        <v>279.20074060774886</v>
      </c>
      <c r="F32" s="61">
        <f t="shared" si="2"/>
        <v>3191.2644651465694</v>
      </c>
      <c r="G32" s="68">
        <f t="shared" si="3"/>
        <v>2.5565367326037345E-2</v>
      </c>
      <c r="H32" s="147"/>
      <c r="I32" s="123"/>
    </row>
    <row r="33" spans="1:19" ht="14.4" customHeight="1" x14ac:dyDescent="0.3">
      <c r="A33" s="13">
        <f>$E$18+0.1*$E$18</f>
        <v>149.99073570998041</v>
      </c>
      <c r="B33" s="101">
        <f>$C$23</f>
        <v>0.24480049081519206</v>
      </c>
      <c r="C33" s="10">
        <v>2986.8129313829099</v>
      </c>
      <c r="D33" s="61">
        <f t="shared" si="0"/>
        <v>3434.834871090346</v>
      </c>
      <c r="E33" s="20">
        <f t="shared" si="1"/>
        <v>307.12081466852374</v>
      </c>
      <c r="F33" s="61">
        <f t="shared" si="2"/>
        <v>3510.3909116612263</v>
      </c>
      <c r="G33" s="68">
        <f t="shared" si="3"/>
        <v>2.1523540389729628E-2</v>
      </c>
      <c r="H33" s="147"/>
      <c r="I33" s="123"/>
    </row>
    <row r="34" spans="1:19" ht="15" customHeight="1" thickBot="1" x14ac:dyDescent="0.35">
      <c r="A34" s="14">
        <f>$E$18+0.2*$E$18</f>
        <v>163.62625713816047</v>
      </c>
      <c r="B34" s="102">
        <f>$C$23</f>
        <v>0.24480049081519206</v>
      </c>
      <c r="C34" s="11">
        <v>3278.0494597091101</v>
      </c>
      <c r="D34" s="62">
        <f t="shared" si="0"/>
        <v>3769.7568786654765</v>
      </c>
      <c r="E34" s="21">
        <f t="shared" si="1"/>
        <v>335.04088872929862</v>
      </c>
      <c r="F34" s="62">
        <f t="shared" si="2"/>
        <v>3829.5173581758831</v>
      </c>
      <c r="G34" s="69">
        <f t="shared" si="3"/>
        <v>1.5605224868042483E-2</v>
      </c>
      <c r="H34" s="147"/>
      <c r="I34" s="123"/>
    </row>
    <row r="35" spans="1:19" ht="15" customHeight="1" thickBot="1" x14ac:dyDescent="0.35">
      <c r="A35" s="15">
        <f>$E$18-0.1*$E$18</f>
        <v>122.71969285362034</v>
      </c>
      <c r="B35" s="103">
        <f>$C$24</f>
        <v>0.2720005453502134</v>
      </c>
      <c r="C35" s="10">
        <v>2153.9916650354298</v>
      </c>
      <c r="D35" s="61">
        <f t="shared" si="0"/>
        <v>2477.090414790744</v>
      </c>
      <c r="E35" s="20">
        <f t="shared" si="1"/>
        <v>226.15259989227658</v>
      </c>
      <c r="F35" s="65">
        <f t="shared" si="2"/>
        <v>2584.9242167687216</v>
      </c>
      <c r="G35" s="68">
        <f t="shared" si="3"/>
        <v>4.1716426840851445E-2</v>
      </c>
      <c r="H35" s="147"/>
      <c r="I35" s="123"/>
    </row>
    <row r="36" spans="1:19" ht="15.6" customHeight="1" thickTop="1" thickBot="1" x14ac:dyDescent="0.35">
      <c r="A36" s="46">
        <f>$E$18</f>
        <v>136.35521428180039</v>
      </c>
      <c r="B36" s="104">
        <f>$C$24</f>
        <v>0.2720005453502134</v>
      </c>
      <c r="C36" s="40">
        <v>2403.1929377341298</v>
      </c>
      <c r="D36" s="53">
        <f t="shared" si="0"/>
        <v>2763.6718783942492</v>
      </c>
      <c r="E36" s="47">
        <f t="shared" si="1"/>
        <v>251.280666546974</v>
      </c>
      <c r="F36" s="61">
        <f t="shared" si="2"/>
        <v>2872.1380186319129</v>
      </c>
      <c r="G36" s="70">
        <f t="shared" si="3"/>
        <v>3.7764947065228233E-2</v>
      </c>
      <c r="H36" s="147"/>
      <c r="I36" s="123"/>
      <c r="K36" s="26"/>
      <c r="S36" s="9"/>
    </row>
    <row r="37" spans="1:19" ht="15" customHeight="1" thickTop="1" x14ac:dyDescent="0.3">
      <c r="A37" s="13">
        <f>$E$18+0.1*$E$18</f>
        <v>149.99073570998041</v>
      </c>
      <c r="B37" s="101">
        <f>$C$24</f>
        <v>0.2720005453502134</v>
      </c>
      <c r="C37" s="16">
        <v>2652.0088004187301</v>
      </c>
      <c r="D37" s="53">
        <f t="shared" si="0"/>
        <v>3049.8101204815393</v>
      </c>
      <c r="E37" s="12">
        <f t="shared" si="1"/>
        <v>276.4087332016714</v>
      </c>
      <c r="F37" s="66">
        <f t="shared" si="2"/>
        <v>3159.3518204951038</v>
      </c>
      <c r="G37" s="68">
        <f t="shared" si="3"/>
        <v>3.4672206907427637E-2</v>
      </c>
      <c r="H37" s="147"/>
      <c r="I37" s="123"/>
    </row>
    <row r="38" spans="1:19" ht="15" customHeight="1" thickBot="1" x14ac:dyDescent="0.35">
      <c r="A38" s="14">
        <f>$E$18+0.2*$E$18</f>
        <v>163.62625713816047</v>
      </c>
      <c r="B38" s="102">
        <f>$C$24</f>
        <v>0.2720005453502134</v>
      </c>
      <c r="C38" s="11">
        <v>2906.8540610329301</v>
      </c>
      <c r="D38" s="62">
        <f t="shared" si="0"/>
        <v>3342.8821701878692</v>
      </c>
      <c r="E38" s="21">
        <f t="shared" si="1"/>
        <v>301.53679985636882</v>
      </c>
      <c r="F38" s="62">
        <f t="shared" si="2"/>
        <v>3446.565622358296</v>
      </c>
      <c r="G38" s="69">
        <f t="shared" si="3"/>
        <v>3.008312144060727E-2</v>
      </c>
      <c r="H38" s="147"/>
      <c r="I38" s="123"/>
    </row>
    <row r="39" spans="1:19" ht="14.4" customHeight="1" x14ac:dyDescent="0.3">
      <c r="A39" s="13">
        <f>$E$18-0.1*$E$18</f>
        <v>122.71969285362034</v>
      </c>
      <c r="B39" s="101">
        <f>$C$25</f>
        <v>0.29920059988523473</v>
      </c>
      <c r="C39" s="17">
        <v>1948.3687606357901</v>
      </c>
      <c r="D39" s="61">
        <f t="shared" si="0"/>
        <v>2240.6240747311585</v>
      </c>
      <c r="E39" s="20">
        <f t="shared" si="1"/>
        <v>205.59327262934232</v>
      </c>
      <c r="F39" s="61">
        <f t="shared" si="2"/>
        <v>2349.9311061533826</v>
      </c>
      <c r="G39" s="68">
        <f t="shared" si="3"/>
        <v>4.6514994050676439E-2</v>
      </c>
      <c r="H39" s="147"/>
      <c r="I39" s="123"/>
    </row>
    <row r="40" spans="1:19" ht="14.4" customHeight="1" x14ac:dyDescent="0.3">
      <c r="A40" s="13">
        <f>$E$18</f>
        <v>136.35521428180039</v>
      </c>
      <c r="B40" s="101">
        <f>$C$25</f>
        <v>0.29920059988523473</v>
      </c>
      <c r="C40" s="17">
        <v>2169.4841431093801</v>
      </c>
      <c r="D40" s="61">
        <f t="shared" si="0"/>
        <v>2494.9067645757868</v>
      </c>
      <c r="E40" s="20">
        <f t="shared" si="1"/>
        <v>228.43696958815815</v>
      </c>
      <c r="F40" s="61">
        <f t="shared" si="2"/>
        <v>2611.0345623926478</v>
      </c>
      <c r="G40" s="68">
        <f t="shared" si="3"/>
        <v>4.4475779635197964E-2</v>
      </c>
      <c r="H40" s="147"/>
      <c r="I40" s="123"/>
    </row>
    <row r="41" spans="1:19" ht="14.4" customHeight="1" x14ac:dyDescent="0.3">
      <c r="A41" s="13">
        <f>$E$18+0.1*$E$18</f>
        <v>149.99073570998041</v>
      </c>
      <c r="B41" s="101">
        <f>$C$25</f>
        <v>0.29920059988523473</v>
      </c>
      <c r="C41" s="18">
        <v>2390.3197341373202</v>
      </c>
      <c r="D41" s="61">
        <f t="shared" si="0"/>
        <v>2748.8676942579182</v>
      </c>
      <c r="E41" s="20">
        <f t="shared" si="1"/>
        <v>251.28066654697395</v>
      </c>
      <c r="F41" s="61">
        <f t="shared" si="2"/>
        <v>2872.1380186319125</v>
      </c>
      <c r="G41" s="68">
        <f t="shared" si="3"/>
        <v>4.2919359576150083E-2</v>
      </c>
      <c r="H41" s="147"/>
      <c r="I41" s="123"/>
    </row>
    <row r="42" spans="1:19" ht="15" customHeight="1" thickBot="1" x14ac:dyDescent="0.35">
      <c r="A42" s="14">
        <f>$E$18+0.2*$E$18</f>
        <v>163.62625713816047</v>
      </c>
      <c r="B42" s="102">
        <f>$C$25</f>
        <v>0.29920059988523473</v>
      </c>
      <c r="C42" s="19">
        <v>2618.5731000056198</v>
      </c>
      <c r="D42" s="62">
        <f t="shared" si="0"/>
        <v>3011.3590650064625</v>
      </c>
      <c r="E42" s="21">
        <f t="shared" si="1"/>
        <v>274.1243635057898</v>
      </c>
      <c r="F42" s="62">
        <f t="shared" si="2"/>
        <v>3133.2414748711776</v>
      </c>
      <c r="G42" s="69">
        <f t="shared" si="3"/>
        <v>3.8899781852825839E-2</v>
      </c>
      <c r="H42" s="147"/>
      <c r="I42" s="123"/>
      <c r="J42" s="23"/>
    </row>
    <row r="43" spans="1:19" ht="14.4" customHeight="1" x14ac:dyDescent="0.3">
      <c r="A43" s="13">
        <f>$E$18-0.1*$E$18</f>
        <v>122.71969285362034</v>
      </c>
      <c r="B43" s="101">
        <f>$C$26</f>
        <v>0.32640065442025606</v>
      </c>
      <c r="C43" s="17">
        <v>1784.6752547533099</v>
      </c>
      <c r="D43" s="61">
        <f t="shared" si="0"/>
        <v>2052.3765429663063</v>
      </c>
      <c r="E43" s="20">
        <f t="shared" si="1"/>
        <v>188.46049991023048</v>
      </c>
      <c r="F43" s="61">
        <f t="shared" si="2"/>
        <v>2154.1035139739342</v>
      </c>
      <c r="G43" s="68">
        <f t="shared" si="3"/>
        <v>4.7224736577287312E-2</v>
      </c>
      <c r="H43" s="147"/>
      <c r="I43" s="123"/>
    </row>
    <row r="44" spans="1:19" ht="14.4" customHeight="1" x14ac:dyDescent="0.3">
      <c r="A44" s="13">
        <f>$E$18</f>
        <v>136.35521428180039</v>
      </c>
      <c r="B44" s="101">
        <f>$C$26</f>
        <v>0.32640065442025606</v>
      </c>
      <c r="C44" s="17">
        <v>1983.9767999302001</v>
      </c>
      <c r="D44" s="61">
        <f t="shared" si="0"/>
        <v>2281.5733199197298</v>
      </c>
      <c r="E44" s="20">
        <f t="shared" si="1"/>
        <v>209.40055545581166</v>
      </c>
      <c r="F44" s="61">
        <f t="shared" si="2"/>
        <v>2393.4483488599271</v>
      </c>
      <c r="G44" s="68">
        <f t="shared" si="3"/>
        <v>4.6742194789157185E-2</v>
      </c>
      <c r="H44" s="147"/>
      <c r="I44" s="123"/>
    </row>
    <row r="45" spans="1:19" ht="14.4" customHeight="1" x14ac:dyDescent="0.3">
      <c r="A45" s="13">
        <f>$E$18+0.1*$E$18</f>
        <v>149.99073570998041</v>
      </c>
      <c r="B45" s="101">
        <f>$C$26</f>
        <v>0.32640065442025606</v>
      </c>
      <c r="C45" s="17">
        <v>2183.0277288995198</v>
      </c>
      <c r="D45" s="61">
        <f t="shared" si="0"/>
        <v>2510.4818882344475</v>
      </c>
      <c r="E45" s="20">
        <f t="shared" si="1"/>
        <v>230.3406110013928</v>
      </c>
      <c r="F45" s="61">
        <f t="shared" si="2"/>
        <v>2632.7931837459196</v>
      </c>
      <c r="G45" s="68">
        <f t="shared" si="3"/>
        <v>4.6456856644337102E-2</v>
      </c>
      <c r="H45" s="147"/>
      <c r="I45" s="123"/>
    </row>
    <row r="46" spans="1:19" ht="15" customHeight="1" thickBot="1" x14ac:dyDescent="0.35">
      <c r="A46" s="14">
        <f>$E$18+0.2*$E$18</f>
        <v>163.62625713816047</v>
      </c>
      <c r="B46" s="102">
        <f>$C$26</f>
        <v>0.32640065442025606</v>
      </c>
      <c r="C46" s="19">
        <v>2387.17651930795</v>
      </c>
      <c r="D46" s="62">
        <f t="shared" si="0"/>
        <v>2745.2529972041425</v>
      </c>
      <c r="E46" s="21">
        <f t="shared" si="1"/>
        <v>251.28066654697398</v>
      </c>
      <c r="F46" s="62">
        <f t="shared" si="2"/>
        <v>2872.1380186319125</v>
      </c>
      <c r="G46" s="69">
        <f t="shared" si="3"/>
        <v>4.4177898347729547E-2</v>
      </c>
      <c r="H46" s="148"/>
      <c r="I46" s="124"/>
    </row>
    <row r="47" spans="1:19" ht="15" thickTop="1" x14ac:dyDescent="0.3">
      <c r="D47" s="67"/>
      <c r="H47" s="38"/>
      <c r="I47" s="37"/>
    </row>
    <row r="48" spans="1:19" ht="15" thickBot="1" x14ac:dyDescent="0.35"/>
    <row r="49" spans="1:14" ht="29.4" thickBot="1" x14ac:dyDescent="0.35">
      <c r="A49" s="113" t="s">
        <v>47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5"/>
    </row>
    <row r="50" spans="1:14" ht="15" thickBot="1" x14ac:dyDescent="0.35">
      <c r="A50" s="6" t="s">
        <v>3</v>
      </c>
      <c r="B50" s="24" t="s">
        <v>17</v>
      </c>
      <c r="C50" s="24" t="s">
        <v>18</v>
      </c>
      <c r="D50" s="36" t="s">
        <v>22</v>
      </c>
      <c r="E50" s="36" t="s">
        <v>23</v>
      </c>
      <c r="F50" s="8" t="s">
        <v>15</v>
      </c>
      <c r="G50" s="6" t="s">
        <v>16</v>
      </c>
      <c r="H50" s="6" t="s">
        <v>21</v>
      </c>
      <c r="I50" s="8" t="s">
        <v>19</v>
      </c>
      <c r="J50" s="35" t="s">
        <v>20</v>
      </c>
      <c r="K50" s="36" t="s">
        <v>13</v>
      </c>
      <c r="L50" s="35" t="s">
        <v>37</v>
      </c>
      <c r="M50" s="36" t="s">
        <v>13</v>
      </c>
    </row>
    <row r="51" spans="1:14" ht="16.8" customHeight="1" thickTop="1" thickBot="1" x14ac:dyDescent="0.35">
      <c r="A51" s="32">
        <f>A52-0.1*A52</f>
        <v>96.3</v>
      </c>
      <c r="B51" s="31">
        <v>1161.3491462977399</v>
      </c>
      <c r="C51" s="39">
        <f>B51*3.28084</f>
        <v>3810.2007331394771</v>
      </c>
      <c r="D51" s="56">
        <f>C51/0.6</f>
        <v>6350.3345552324618</v>
      </c>
      <c r="E51" s="57">
        <f>D51*0.3048</f>
        <v>1935.5819724348544</v>
      </c>
      <c r="F51" s="52">
        <v>73.276562218590001</v>
      </c>
      <c r="G51" s="29">
        <f>F51*1.94384</f>
        <v>142.43791270298399</v>
      </c>
      <c r="H51" s="25">
        <f>G51^2</f>
        <v>20288.558975182888</v>
      </c>
      <c r="I51" s="63">
        <f>0.3*H51</f>
        <v>6086.567692554866</v>
      </c>
      <c r="J51" s="64">
        <f>I51*0.3048</f>
        <v>1855.1858326907231</v>
      </c>
      <c r="K51" s="71">
        <f>ABS((J51-E51)/J51)</f>
        <v>4.3335895697050646E-2</v>
      </c>
      <c r="L51" s="116">
        <v>1930</v>
      </c>
      <c r="M51" s="119">
        <f>ABS((L51-E52)/L51)</f>
        <v>7.7812144436351816E-2</v>
      </c>
      <c r="N51" s="5"/>
    </row>
    <row r="52" spans="1:14" ht="16.8" customHeight="1" thickTop="1" thickBot="1" x14ac:dyDescent="0.35">
      <c r="A52" s="34">
        <f>107</f>
        <v>107</v>
      </c>
      <c r="B52" s="51">
        <v>1248.1064233178899</v>
      </c>
      <c r="C52" s="49">
        <f>B52*3.28084</f>
        <v>4094.8374778782659</v>
      </c>
      <c r="D52" s="58">
        <f>C52/0.6</f>
        <v>6824.7291297971096</v>
      </c>
      <c r="E52" s="59">
        <f>D52*0.3048</f>
        <v>2080.177438762159</v>
      </c>
      <c r="F52" s="73">
        <v>77.240278572595003</v>
      </c>
      <c r="G52" s="50">
        <f>F52*1.94384</f>
        <v>150.14274310055308</v>
      </c>
      <c r="H52" s="48">
        <f>G52^2</f>
        <v>22542.843305758677</v>
      </c>
      <c r="I52" s="60">
        <f>0.3*H52</f>
        <v>6762.8529917276028</v>
      </c>
      <c r="J52" s="59">
        <f>I52*0.3048</f>
        <v>2061.3175918785732</v>
      </c>
      <c r="K52" s="72">
        <f>ABS((J52-E52)/J52)</f>
        <v>9.1494134421071516E-3</v>
      </c>
      <c r="L52" s="117"/>
      <c r="M52" s="120"/>
      <c r="N52" s="5"/>
    </row>
    <row r="53" spans="1:14" ht="16.2" customHeight="1" thickTop="1" thickBot="1" x14ac:dyDescent="0.35">
      <c r="A53" s="33">
        <f>A52+0.1*A52</f>
        <v>117.7</v>
      </c>
      <c r="B53" s="96">
        <v>1334.9169571091199</v>
      </c>
      <c r="C53" s="108">
        <f>B53*3.28084</f>
        <v>4379.6489495618853</v>
      </c>
      <c r="D53" s="109">
        <f>C53/0.6</f>
        <v>7299.4149159364761</v>
      </c>
      <c r="E53" s="55">
        <f>D53*0.3048</f>
        <v>2224.8616663774378</v>
      </c>
      <c r="F53" s="97">
        <v>81.041889041770006</v>
      </c>
      <c r="G53" s="98">
        <f>F53*1.94384</f>
        <v>157.5324655949542</v>
      </c>
      <c r="H53" s="99">
        <f>G53^2</f>
        <v>24816.47771642543</v>
      </c>
      <c r="I53" s="54">
        <f>0.3*H53</f>
        <v>7444.9433149276283</v>
      </c>
      <c r="J53" s="62">
        <f>I53*0.3048</f>
        <v>2269.2187223899414</v>
      </c>
      <c r="K53" s="100">
        <f>ABS((J53-E53)/J53)</f>
        <v>1.9547280998010938E-2</v>
      </c>
      <c r="L53" s="118"/>
      <c r="M53" s="121"/>
      <c r="N53" s="5"/>
    </row>
    <row r="54" spans="1:14" x14ac:dyDescent="0.3">
      <c r="M54" s="5"/>
      <c r="N54" s="5"/>
    </row>
    <row r="55" spans="1:14" ht="15" thickBot="1" x14ac:dyDescent="0.35"/>
    <row r="56" spans="1:14" ht="24" thickBot="1" x14ac:dyDescent="0.5">
      <c r="A56" s="75"/>
      <c r="B56" s="76" t="s">
        <v>38</v>
      </c>
      <c r="C56" s="77" t="s">
        <v>41</v>
      </c>
      <c r="D56" s="77" t="s">
        <v>42</v>
      </c>
      <c r="E56" s="77" t="s">
        <v>43</v>
      </c>
    </row>
    <row r="57" spans="1:14" ht="16.8" customHeight="1" x14ac:dyDescent="0.3">
      <c r="A57" s="78" t="s">
        <v>40</v>
      </c>
      <c r="B57" s="92">
        <v>223168</v>
      </c>
      <c r="C57" s="81">
        <v>172365</v>
      </c>
      <c r="D57" s="82">
        <v>77800</v>
      </c>
      <c r="E57" s="81">
        <v>386000</v>
      </c>
    </row>
    <row r="58" spans="1:14" ht="16.2" customHeight="1" x14ac:dyDescent="0.3">
      <c r="A58" s="79" t="s">
        <v>1</v>
      </c>
      <c r="B58" s="83">
        <v>427.8</v>
      </c>
      <c r="C58" s="84">
        <v>325</v>
      </c>
      <c r="D58" s="84">
        <v>128</v>
      </c>
      <c r="E58" s="74">
        <v>845</v>
      </c>
    </row>
    <row r="59" spans="1:14" ht="16.8" customHeight="1" x14ac:dyDescent="0.3">
      <c r="A59" s="79" t="s">
        <v>44</v>
      </c>
      <c r="B59" s="86">
        <f>(B57/B58)*0.204817</f>
        <v>106.84572289855072</v>
      </c>
      <c r="C59" s="86">
        <f>(C57/C58)*0.204817</f>
        <v>108.6254837076923</v>
      </c>
      <c r="D59" s="86">
        <f>(D57/D58)*0.204817</f>
        <v>124.4903328125</v>
      </c>
      <c r="E59" s="85">
        <f>(E57/E58)*0.204817</f>
        <v>93.561375147928985</v>
      </c>
    </row>
    <row r="60" spans="1:14" ht="16.8" customHeight="1" x14ac:dyDescent="0.3">
      <c r="A60" s="79" t="s">
        <v>45</v>
      </c>
      <c r="B60" s="106">
        <v>140</v>
      </c>
      <c r="C60" s="106">
        <v>140</v>
      </c>
      <c r="D60" s="106">
        <v>144</v>
      </c>
      <c r="E60" s="107">
        <v>141</v>
      </c>
    </row>
    <row r="61" spans="1:14" ht="24.6" customHeight="1" x14ac:dyDescent="0.3">
      <c r="A61" s="110" t="s">
        <v>46</v>
      </c>
      <c r="B61" s="111">
        <f>B60^2</f>
        <v>19600</v>
      </c>
      <c r="C61" s="111">
        <f>C60^2</f>
        <v>19600</v>
      </c>
      <c r="D61" s="111">
        <f>D60^2</f>
        <v>20736</v>
      </c>
      <c r="E61" s="112">
        <f>E60^2</f>
        <v>19881</v>
      </c>
    </row>
    <row r="62" spans="1:14" ht="16.8" customHeight="1" thickBot="1" x14ac:dyDescent="0.35">
      <c r="A62" s="80" t="s">
        <v>39</v>
      </c>
      <c r="B62" s="87">
        <f>1678</f>
        <v>1678</v>
      </c>
      <c r="C62" s="88">
        <f>1630</f>
        <v>1630</v>
      </c>
      <c r="D62" s="88">
        <f>1742</f>
        <v>1742</v>
      </c>
      <c r="E62" s="87">
        <v>1903</v>
      </c>
    </row>
    <row r="63" spans="1:14" ht="16.8" customHeight="1" x14ac:dyDescent="0.3">
      <c r="A63" s="89"/>
      <c r="B63" s="90"/>
      <c r="C63" s="90"/>
      <c r="D63" s="90"/>
      <c r="E63" s="90"/>
      <c r="F63" s="91"/>
      <c r="G63" s="91"/>
    </row>
    <row r="64" spans="1:14" ht="16.2" customHeight="1" x14ac:dyDescent="0.3">
      <c r="A64" s="89"/>
      <c r="B64" s="90"/>
      <c r="C64" s="90"/>
      <c r="D64" s="90"/>
      <c r="E64" s="90"/>
      <c r="F64" s="91"/>
      <c r="G64" s="91"/>
    </row>
    <row r="65" spans="14:14" ht="16.2" customHeight="1" x14ac:dyDescent="0.3">
      <c r="N65" s="5"/>
    </row>
    <row r="66" spans="14:14" ht="24.6" customHeight="1" x14ac:dyDescent="0.3">
      <c r="N66" s="5"/>
    </row>
    <row r="76" spans="14:14" ht="16.2" customHeight="1" x14ac:dyDescent="0.3"/>
    <row r="77" spans="14:14" ht="16.8" customHeight="1" x14ac:dyDescent="0.3"/>
    <row r="78" spans="14:14" ht="16.8" customHeight="1" x14ac:dyDescent="0.3"/>
    <row r="81" ht="16.8" customHeight="1" x14ac:dyDescent="0.3"/>
    <row r="82" ht="16.8" customHeight="1" x14ac:dyDescent="0.3"/>
    <row r="83" ht="16.8" customHeight="1" x14ac:dyDescent="0.3"/>
  </sheetData>
  <mergeCells count="30">
    <mergeCell ref="A3:F3"/>
    <mergeCell ref="A1:F2"/>
    <mergeCell ref="E18:F18"/>
    <mergeCell ref="B9:F9"/>
    <mergeCell ref="B10:F10"/>
    <mergeCell ref="B15:F15"/>
    <mergeCell ref="B16:F16"/>
    <mergeCell ref="B17:F17"/>
    <mergeCell ref="B4:F4"/>
    <mergeCell ref="B5:F5"/>
    <mergeCell ref="B6:F6"/>
    <mergeCell ref="B7:F7"/>
    <mergeCell ref="B8:F8"/>
    <mergeCell ref="A21:D21"/>
    <mergeCell ref="E20:F20"/>
    <mergeCell ref="E19:F19"/>
    <mergeCell ref="E21:F21"/>
    <mergeCell ref="B11:F11"/>
    <mergeCell ref="B18:D18"/>
    <mergeCell ref="B19:D19"/>
    <mergeCell ref="B20:D20"/>
    <mergeCell ref="B12:F12"/>
    <mergeCell ref="B13:F13"/>
    <mergeCell ref="B14:F14"/>
    <mergeCell ref="A49:M49"/>
    <mergeCell ref="L51:L53"/>
    <mergeCell ref="M51:M53"/>
    <mergeCell ref="I31:I46"/>
    <mergeCell ref="A29:I29"/>
    <mergeCell ref="H31:H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abSelected="1" topLeftCell="U1" zoomScale="85" zoomScaleNormal="85" workbookViewId="0">
      <selection activeCell="W1" sqref="W1:AT56"/>
    </sheetView>
  </sheetViews>
  <sheetFormatPr defaultRowHeight="14.4" x14ac:dyDescent="0.3"/>
  <sheetData>
    <row r="1" spans="1:46" x14ac:dyDescent="0.3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  <c r="W1" s="192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4"/>
    </row>
    <row r="2" spans="1:46" x14ac:dyDescent="0.3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6"/>
      <c r="W2" s="195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7"/>
    </row>
    <row r="3" spans="1:46" x14ac:dyDescent="0.3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6"/>
      <c r="W3" s="195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7"/>
    </row>
    <row r="4" spans="1:46" x14ac:dyDescent="0.3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6"/>
      <c r="W4" s="195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7"/>
    </row>
    <row r="5" spans="1:46" x14ac:dyDescent="0.3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6"/>
      <c r="W5" s="195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7"/>
    </row>
    <row r="6" spans="1:46" x14ac:dyDescent="0.3">
      <c r="A6" s="204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6"/>
      <c r="W6" s="195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</row>
    <row r="7" spans="1:46" x14ac:dyDescent="0.3">
      <c r="A7" s="204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6"/>
      <c r="W7" s="195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7"/>
    </row>
    <row r="8" spans="1:46" x14ac:dyDescent="0.3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6"/>
      <c r="W8" s="195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7"/>
    </row>
    <row r="9" spans="1:46" x14ac:dyDescent="0.3">
      <c r="A9" s="204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6"/>
      <c r="W9" s="195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7"/>
    </row>
    <row r="10" spans="1:46" x14ac:dyDescent="0.3">
      <c r="A10" s="204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6"/>
      <c r="W10" s="195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7"/>
    </row>
    <row r="11" spans="1:46" x14ac:dyDescent="0.3">
      <c r="A11" s="204"/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6"/>
      <c r="W11" s="195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7"/>
    </row>
    <row r="12" spans="1:46" x14ac:dyDescent="0.3">
      <c r="A12" s="204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6"/>
      <c r="W12" s="195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7"/>
    </row>
    <row r="13" spans="1:46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6"/>
      <c r="W13" s="195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7"/>
    </row>
    <row r="14" spans="1:46" x14ac:dyDescent="0.3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6"/>
      <c r="W14" s="195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7"/>
    </row>
    <row r="15" spans="1:46" x14ac:dyDescent="0.3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6"/>
      <c r="W15" s="195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7"/>
    </row>
    <row r="16" spans="1:46" x14ac:dyDescent="0.3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6"/>
      <c r="W16" s="195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7"/>
    </row>
    <row r="17" spans="1:46" x14ac:dyDescent="0.3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6"/>
      <c r="W17" s="195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7"/>
    </row>
    <row r="18" spans="1:46" x14ac:dyDescent="0.3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6"/>
      <c r="W18" s="195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7"/>
    </row>
    <row r="19" spans="1:46" x14ac:dyDescent="0.3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6"/>
      <c r="W19" s="195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7"/>
    </row>
    <row r="20" spans="1:46" x14ac:dyDescent="0.3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6"/>
      <c r="W20" s="195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7"/>
    </row>
    <row r="21" spans="1:46" x14ac:dyDescent="0.3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6"/>
      <c r="W21" s="195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7"/>
    </row>
    <row r="22" spans="1:46" x14ac:dyDescent="0.3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6"/>
      <c r="W22" s="195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7"/>
    </row>
    <row r="23" spans="1:46" x14ac:dyDescent="0.3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6"/>
      <c r="W23" s="195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7"/>
    </row>
    <row r="24" spans="1:46" x14ac:dyDescent="0.3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6"/>
      <c r="W24" s="195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7"/>
    </row>
    <row r="25" spans="1:46" x14ac:dyDescent="0.3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6"/>
      <c r="W25" s="195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7"/>
    </row>
    <row r="26" spans="1:46" x14ac:dyDescent="0.3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6"/>
      <c r="W26" s="195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7"/>
    </row>
    <row r="27" spans="1:46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6"/>
      <c r="W27" s="195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7"/>
    </row>
    <row r="28" spans="1:46" x14ac:dyDescent="0.3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6"/>
      <c r="W28" s="195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7"/>
    </row>
    <row r="29" spans="1:46" x14ac:dyDescent="0.3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6"/>
      <c r="W29" s="195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7"/>
    </row>
    <row r="30" spans="1:46" x14ac:dyDescent="0.3">
      <c r="A30" s="204"/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6"/>
      <c r="W30" s="195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7"/>
    </row>
    <row r="31" spans="1:46" x14ac:dyDescent="0.3">
      <c r="A31" s="204"/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6"/>
      <c r="W31" s="195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7"/>
    </row>
    <row r="32" spans="1:46" x14ac:dyDescent="0.3">
      <c r="A32" s="204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6"/>
      <c r="W32" s="195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7"/>
    </row>
    <row r="33" spans="1:46" x14ac:dyDescent="0.3">
      <c r="A33" s="204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6"/>
      <c r="W33" s="195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7"/>
    </row>
    <row r="34" spans="1:46" x14ac:dyDescent="0.3">
      <c r="A34" s="20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6"/>
      <c r="W34" s="195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7"/>
    </row>
    <row r="35" spans="1:46" x14ac:dyDescent="0.3">
      <c r="A35" s="204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6"/>
      <c r="W35" s="195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7"/>
    </row>
    <row r="36" spans="1:46" x14ac:dyDescent="0.3">
      <c r="A36" s="204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6"/>
      <c r="W36" s="195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7"/>
    </row>
    <row r="37" spans="1:46" x14ac:dyDescent="0.3">
      <c r="A37" s="204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6"/>
      <c r="W37" s="195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7"/>
    </row>
    <row r="38" spans="1:46" x14ac:dyDescent="0.3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6"/>
      <c r="W38" s="195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7"/>
    </row>
    <row r="39" spans="1:46" x14ac:dyDescent="0.3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6"/>
      <c r="W39" s="195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7"/>
    </row>
    <row r="40" spans="1:46" x14ac:dyDescent="0.3">
      <c r="A40" s="204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6"/>
      <c r="W40" s="195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7"/>
    </row>
    <row r="41" spans="1:46" x14ac:dyDescent="0.3">
      <c r="A41" s="204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6"/>
      <c r="W41" s="195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7"/>
    </row>
    <row r="42" spans="1:46" x14ac:dyDescent="0.3">
      <c r="A42" s="20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6"/>
      <c r="W42" s="195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7"/>
    </row>
    <row r="43" spans="1:46" x14ac:dyDescent="0.3">
      <c r="A43" s="204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6"/>
      <c r="W43" s="195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7"/>
    </row>
    <row r="44" spans="1:46" x14ac:dyDescent="0.3">
      <c r="A44" s="204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6"/>
      <c r="W44" s="195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7"/>
    </row>
    <row r="45" spans="1:46" x14ac:dyDescent="0.3">
      <c r="A45" s="204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6"/>
      <c r="W45" s="195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7"/>
    </row>
    <row r="46" spans="1:46" x14ac:dyDescent="0.3">
      <c r="A46" s="204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6"/>
      <c r="W46" s="195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7"/>
    </row>
    <row r="47" spans="1:46" x14ac:dyDescent="0.3">
      <c r="A47" s="204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6"/>
      <c r="W47" s="195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7"/>
    </row>
    <row r="48" spans="1:46" x14ac:dyDescent="0.3">
      <c r="A48" s="204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6"/>
      <c r="W48" s="195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7"/>
    </row>
    <row r="49" spans="1:46" x14ac:dyDescent="0.3">
      <c r="A49" s="204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6"/>
      <c r="W49" s="195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7"/>
    </row>
    <row r="50" spans="1:46" x14ac:dyDescent="0.3">
      <c r="A50" s="204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6"/>
      <c r="W50" s="195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7"/>
    </row>
    <row r="51" spans="1:46" x14ac:dyDescent="0.3">
      <c r="A51" s="204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6"/>
      <c r="W51" s="195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7"/>
    </row>
    <row r="52" spans="1:46" x14ac:dyDescent="0.3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6"/>
      <c r="W52" s="195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7"/>
    </row>
    <row r="53" spans="1:46" x14ac:dyDescent="0.3">
      <c r="A53" s="204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6"/>
      <c r="W53" s="195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7"/>
    </row>
    <row r="54" spans="1:46" x14ac:dyDescent="0.3">
      <c r="A54" s="204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6"/>
      <c r="W54" s="195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7"/>
    </row>
    <row r="55" spans="1:46" x14ac:dyDescent="0.3">
      <c r="A55" s="204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6"/>
      <c r="W55" s="195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7"/>
    </row>
    <row r="56" spans="1:46" ht="15" thickBot="1" x14ac:dyDescent="0.35">
      <c r="A56" s="207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9"/>
      <c r="W56" s="198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200"/>
    </row>
  </sheetData>
  <mergeCells count="2">
    <mergeCell ref="W1:AT56"/>
    <mergeCell ref="A1:V56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TO&amp;Landing Sensibility Analysis</vt:lpstr>
      <vt:lpstr>Charts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cp:lastPrinted>2016-05-25T23:09:35Z</cp:lastPrinted>
  <dcterms:created xsi:type="dcterms:W3CDTF">2016-03-14T11:15:23Z</dcterms:created>
  <dcterms:modified xsi:type="dcterms:W3CDTF">2016-05-25T23:12:22Z</dcterms:modified>
</cp:coreProperties>
</file>