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9552"/>
  </bookViews>
  <sheets>
    <sheet name="TO&amp;Landing Sensibility Analysis" sheetId="1" r:id="rId1"/>
    <sheet name="Charts" sheetId="2" r:id="rId2"/>
  </sheets>
  <calcPr calcId="145621"/>
  <fileRecoveryPr repairLoad="1"/>
</workbook>
</file>

<file path=xl/calcChain.xml><?xml version="1.0" encoding="utf-8"?>
<calcChain xmlns="http://schemas.openxmlformats.org/spreadsheetml/2006/main">
  <c r="I51" i="1" l="1"/>
  <c r="J51" i="1" s="1"/>
  <c r="C35" i="1"/>
  <c r="C63" i="1"/>
  <c r="D63" i="1" s="1"/>
  <c r="E63" i="1" s="1"/>
  <c r="C65" i="1"/>
  <c r="D65" i="1" s="1"/>
  <c r="E65" i="1" s="1"/>
  <c r="C66" i="1"/>
  <c r="D66" i="1" s="1"/>
  <c r="E66" i="1" s="1"/>
  <c r="C57" i="1"/>
  <c r="D57" i="1" s="1"/>
  <c r="E57" i="1" s="1"/>
  <c r="C59" i="1"/>
  <c r="D59" i="1" s="1"/>
  <c r="E59" i="1" s="1"/>
  <c r="C60" i="1"/>
  <c r="D60" i="1" s="1"/>
  <c r="E60" i="1" s="1"/>
  <c r="C51" i="1"/>
  <c r="D51" i="1" s="1"/>
  <c r="E51" i="1" s="1"/>
  <c r="C54" i="1"/>
  <c r="D54" i="1" s="1"/>
  <c r="E54" i="1" s="1"/>
  <c r="C53" i="1"/>
  <c r="D53" i="1" s="1"/>
  <c r="E53" i="1" s="1"/>
  <c r="E24" i="1"/>
  <c r="E25" i="1" s="1"/>
  <c r="G66" i="1"/>
  <c r="G65" i="1"/>
  <c r="G64" i="1"/>
  <c r="H64" i="1" s="1"/>
  <c r="I64" i="1" s="1"/>
  <c r="J64" i="1" s="1"/>
  <c r="C64" i="1"/>
  <c r="D64" i="1" s="1"/>
  <c r="E64" i="1" s="1"/>
  <c r="M63" i="1" s="1"/>
  <c r="A64" i="1"/>
  <c r="G63" i="1"/>
  <c r="G60" i="1"/>
  <c r="G59" i="1"/>
  <c r="H59" i="1" s="1"/>
  <c r="I59" i="1" s="1"/>
  <c r="G58" i="1"/>
  <c r="H58" i="1" s="1"/>
  <c r="I58" i="1" s="1"/>
  <c r="J58" i="1" s="1"/>
  <c r="C58" i="1"/>
  <c r="D58" i="1" s="1"/>
  <c r="E58" i="1" s="1"/>
  <c r="A58" i="1"/>
  <c r="G57" i="1"/>
  <c r="J65" i="1" l="1"/>
  <c r="K65" i="1" s="1"/>
  <c r="K58" i="1"/>
  <c r="E26" i="1"/>
  <c r="E23" i="1"/>
  <c r="K64" i="1"/>
  <c r="M57" i="1"/>
  <c r="J59" i="1"/>
  <c r="K59" i="1" s="1"/>
  <c r="H57" i="1"/>
  <c r="I57" i="1" s="1"/>
  <c r="J57" i="1" s="1"/>
  <c r="K57" i="1" s="1"/>
  <c r="H63" i="1"/>
  <c r="I63" i="1" s="1"/>
  <c r="J63" i="1" s="1"/>
  <c r="K63" i="1" s="1"/>
  <c r="H65" i="1"/>
  <c r="I65" i="1" s="1"/>
  <c r="H66" i="1"/>
  <c r="I66" i="1" s="1"/>
  <c r="J66" i="1" s="1"/>
  <c r="K66" i="1" s="1"/>
  <c r="H60" i="1"/>
  <c r="I60" i="1" s="1"/>
  <c r="J60" i="1" s="1"/>
  <c r="K60" i="1" s="1"/>
  <c r="G52" i="1"/>
  <c r="H52" i="1" s="1"/>
  <c r="B20" i="1" l="1"/>
  <c r="B19" i="1"/>
  <c r="E19" i="1" s="1"/>
  <c r="B18" i="1"/>
  <c r="A52" i="1"/>
  <c r="F26" i="1"/>
  <c r="F25" i="1"/>
  <c r="F24" i="1"/>
  <c r="A59" i="1" l="1"/>
  <c r="A57" i="1"/>
  <c r="A66" i="1"/>
  <c r="A63" i="1"/>
  <c r="A60" i="1"/>
  <c r="A65" i="1"/>
  <c r="A53" i="1"/>
  <c r="A54" i="1"/>
  <c r="A51" i="1"/>
  <c r="F23" i="1"/>
  <c r="C52" i="1"/>
  <c r="D52" i="1" s="1"/>
  <c r="E52" i="1" s="1"/>
  <c r="M51" i="1" s="1"/>
  <c r="G51" i="1"/>
  <c r="H51" i="1" s="1"/>
  <c r="I52" i="1" l="1"/>
  <c r="J52" i="1" s="1"/>
  <c r="K52" i="1" s="1"/>
  <c r="K51" i="1" l="1"/>
  <c r="G53" i="1"/>
  <c r="G54" i="1"/>
  <c r="D31" i="1"/>
  <c r="D32" i="1"/>
  <c r="D33" i="1"/>
  <c r="D34" i="1"/>
  <c r="D35" i="1"/>
  <c r="D36" i="1"/>
  <c r="I31" i="1" s="1"/>
  <c r="D37" i="1"/>
  <c r="D38" i="1"/>
  <c r="D39" i="1"/>
  <c r="D40" i="1"/>
  <c r="D41" i="1"/>
  <c r="D42" i="1"/>
  <c r="D43" i="1"/>
  <c r="D44" i="1"/>
  <c r="D45" i="1"/>
  <c r="D46" i="1"/>
  <c r="E20" i="1"/>
  <c r="C26" i="1" s="1"/>
  <c r="E18" i="1"/>
  <c r="A45" i="1" l="1"/>
  <c r="B45" i="1"/>
  <c r="H53" i="1"/>
  <c r="I53" i="1" s="1"/>
  <c r="J53" i="1" s="1"/>
  <c r="K53" i="1" s="1"/>
  <c r="H54" i="1"/>
  <c r="I54" i="1" s="1"/>
  <c r="J54" i="1" s="1"/>
  <c r="K54" i="1" s="1"/>
  <c r="A33" i="1"/>
  <c r="A42" i="1"/>
  <c r="A46" i="1"/>
  <c r="B44" i="1"/>
  <c r="A37" i="1"/>
  <c r="A34" i="1"/>
  <c r="B43" i="1"/>
  <c r="A39" i="1"/>
  <c r="A40" i="1"/>
  <c r="A41" i="1"/>
  <c r="A38" i="1"/>
  <c r="A35" i="1"/>
  <c r="A31" i="1"/>
  <c r="A36" i="1"/>
  <c r="A44" i="1"/>
  <c r="B46" i="1"/>
  <c r="A43" i="1"/>
  <c r="A32" i="1"/>
  <c r="D26" i="1"/>
  <c r="A25" i="1"/>
  <c r="B25" i="1" s="1"/>
  <c r="A23" i="1"/>
  <c r="B23" i="1" s="1"/>
  <c r="A24" i="1"/>
  <c r="B24" i="1" s="1"/>
  <c r="A26" i="1"/>
  <c r="B26" i="1" s="1"/>
  <c r="C24" i="1"/>
  <c r="C23" i="1"/>
  <c r="C25" i="1"/>
  <c r="E45" i="1" l="1"/>
  <c r="F45" i="1" s="1"/>
  <c r="G45" i="1" s="1"/>
  <c r="E46" i="1"/>
  <c r="F46" i="1" s="1"/>
  <c r="G46" i="1" s="1"/>
  <c r="B33" i="1"/>
  <c r="E33" i="1" s="1"/>
  <c r="F33" i="1" s="1"/>
  <c r="G33" i="1" s="1"/>
  <c r="E44" i="1"/>
  <c r="F44" i="1" s="1"/>
  <c r="G44" i="1" s="1"/>
  <c r="E43" i="1"/>
  <c r="F43" i="1" s="1"/>
  <c r="G43" i="1" s="1"/>
  <c r="B34" i="1"/>
  <c r="B31" i="1"/>
  <c r="E31" i="1" s="1"/>
  <c r="B32" i="1"/>
  <c r="B42" i="1"/>
  <c r="E42" i="1" s="1"/>
  <c r="B39" i="1"/>
  <c r="E39" i="1" s="1"/>
  <c r="B40" i="1"/>
  <c r="E40" i="1" s="1"/>
  <c r="B41" i="1"/>
  <c r="B35" i="1"/>
  <c r="B38" i="1"/>
  <c r="E38" i="1" s="1"/>
  <c r="B36" i="1"/>
  <c r="E36" i="1" s="1"/>
  <c r="B37" i="1"/>
  <c r="D25" i="1"/>
  <c r="D23" i="1"/>
  <c r="D24" i="1"/>
  <c r="E35" i="1" l="1"/>
  <c r="F35" i="1" s="1"/>
  <c r="G35" i="1" s="1"/>
  <c r="F42" i="1"/>
  <c r="G42" i="1" s="1"/>
  <c r="E32" i="1"/>
  <c r="F32" i="1" s="1"/>
  <c r="G32" i="1" s="1"/>
  <c r="E41" i="1"/>
  <c r="F41" i="1" s="1"/>
  <c r="G41" i="1" s="1"/>
  <c r="F38" i="1"/>
  <c r="G38" i="1" s="1"/>
  <c r="F31" i="1"/>
  <c r="G31" i="1" s="1"/>
  <c r="F40" i="1"/>
  <c r="G40" i="1" s="1"/>
  <c r="F39" i="1"/>
  <c r="G39" i="1" s="1"/>
  <c r="E37" i="1"/>
  <c r="F37" i="1" s="1"/>
  <c r="G37" i="1" s="1"/>
  <c r="E34" i="1"/>
  <c r="F34" i="1" s="1"/>
  <c r="G34" i="1" s="1"/>
  <c r="F36" i="1"/>
  <c r="G36" i="1" s="1"/>
</calcChain>
</file>

<file path=xl/sharedStrings.xml><?xml version="1.0" encoding="utf-8"?>
<sst xmlns="http://schemas.openxmlformats.org/spreadsheetml/2006/main" count="79" uniqueCount="41">
  <si>
    <t>B747-100B</t>
  </si>
  <si>
    <t>S</t>
  </si>
  <si>
    <t>T0</t>
  </si>
  <si>
    <t>W/S</t>
  </si>
  <si>
    <t>T/W</t>
  </si>
  <si>
    <t>Model Data</t>
  </si>
  <si>
    <t>Take-Off analysis</t>
  </si>
  <si>
    <t>TO length</t>
  </si>
  <si>
    <t>FAR-25 TO length</t>
  </si>
  <si>
    <t>TOP 25</t>
  </si>
  <si>
    <t>CLmaxTO</t>
  </si>
  <si>
    <t>σ</t>
  </si>
  <si>
    <t>Statistical Field Length</t>
  </si>
  <si>
    <t>Difference (%)</t>
  </si>
  <si>
    <t>T0 (x1 Eng)</t>
  </si>
  <si>
    <t>Va (m/s)</t>
  </si>
  <si>
    <t>Va (kts)</t>
  </si>
  <si>
    <t>Landing distance (m)</t>
  </si>
  <si>
    <t>Landing distance (ft)</t>
  </si>
  <si>
    <t>Statistical Field Length (ft)</t>
  </si>
  <si>
    <t>Statistical Field Length (m)</t>
  </si>
  <si>
    <t>Va^2 (kts^2)</t>
  </si>
  <si>
    <t>FAR-25 Landing field length (ft)</t>
  </si>
  <si>
    <t>FAR-25 Landing field length (m)</t>
  </si>
  <si>
    <r>
      <t>W</t>
    </r>
    <r>
      <rPr>
        <b/>
        <sz val="9"/>
        <color theme="1"/>
        <rFont val="Calibri"/>
        <family val="2"/>
        <scheme val="minor"/>
      </rPr>
      <t>TO</t>
    </r>
  </si>
  <si>
    <r>
      <t>W</t>
    </r>
    <r>
      <rPr>
        <b/>
        <sz val="9"/>
        <color theme="1"/>
        <rFont val="Calibri"/>
        <family val="2"/>
        <scheme val="minor"/>
      </rPr>
      <t>LAND</t>
    </r>
  </si>
  <si>
    <t>CLmaxLAND</t>
  </si>
  <si>
    <t>µ</t>
  </si>
  <si>
    <r>
      <t>µ</t>
    </r>
    <r>
      <rPr>
        <b/>
        <sz val="8"/>
        <color theme="1"/>
        <rFont val="Calibri"/>
        <family val="2"/>
      </rPr>
      <t>brake</t>
    </r>
  </si>
  <si>
    <r>
      <t xml:space="preserve">W/S </t>
    </r>
    <r>
      <rPr>
        <b/>
        <sz val="10"/>
        <color theme="1"/>
        <rFont val="Calibri"/>
        <family val="2"/>
        <scheme val="minor"/>
      </rPr>
      <t>TO</t>
    </r>
  </si>
  <si>
    <r>
      <t xml:space="preserve">W/S </t>
    </r>
    <r>
      <rPr>
        <b/>
        <sz val="10"/>
        <color theme="1"/>
        <rFont val="Calibri"/>
        <family val="2"/>
        <scheme val="minor"/>
      </rPr>
      <t>Land</t>
    </r>
  </si>
  <si>
    <t>W/S variation range landing</t>
  </si>
  <si>
    <t>W/S and T/W variation range take-off</t>
  </si>
  <si>
    <r>
      <rPr>
        <b/>
        <sz val="11"/>
        <color theme="1"/>
        <rFont val="Calibri"/>
        <family val="2"/>
      </rPr>
      <t>δ</t>
    </r>
    <r>
      <rPr>
        <b/>
        <sz val="9.9"/>
        <color theme="1"/>
        <rFont val="Calibri"/>
        <family val="2"/>
      </rPr>
      <t>f</t>
    </r>
  </si>
  <si>
    <t>N free-roll</t>
  </si>
  <si>
    <r>
      <t>δ</t>
    </r>
    <r>
      <rPr>
        <b/>
        <sz val="9.9"/>
        <color theme="1"/>
        <rFont val="Calibri"/>
        <family val="2"/>
      </rPr>
      <t>f</t>
    </r>
  </si>
  <si>
    <t>δs</t>
  </si>
  <si>
    <t>Landing analysis (CLmaxLAND = 2.55@ δf = 30° and δs = 15°)</t>
  </si>
  <si>
    <t>Landing analysis (CLmaxLAND = 2.43 @ δf = 25° and δs = 15°)</t>
  </si>
  <si>
    <t>Flight manual Field Length (m)</t>
  </si>
  <si>
    <r>
      <t xml:space="preserve">Landing analysis (CLmaxLAND = 2.67 @ </t>
    </r>
    <r>
      <rPr>
        <b/>
        <sz val="22"/>
        <color theme="1"/>
        <rFont val="Calibri"/>
        <family val="2"/>
      </rPr>
      <t>δf = 30° and δs = 20°</t>
    </r>
    <r>
      <rPr>
        <b/>
        <sz val="2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</si>
</sst>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0\ \k\g"/>
    <numFmt numFmtId="165" formatCode="0\ \m\^\2"/>
    <numFmt numFmtId="166" formatCode="0\ \N"/>
    <numFmt numFmtId="167" formatCode="0\ \k\g\/\m\^\2"/>
    <numFmt numFmtId="168" formatCode="0\ \l\b\/\f\t\^\2"/>
    <numFmt numFmtId="169" formatCode="0.000\ \l\b\/\l\b"/>
    <numFmt numFmtId="170" formatCode="0.000\ \N\/\k\g"/>
    <numFmt numFmtId="171" formatCode="0.00\ \m"/>
    <numFmt numFmtId="172" formatCode="0.0\ \m"/>
    <numFmt numFmtId="173" formatCode="0.00\ \k\t\s"/>
    <numFmt numFmtId="174" formatCode="0.00\ \f\t"/>
    <numFmt numFmtId="175" formatCode="0\ \k\t\s\^\2"/>
    <numFmt numFmtId="176" formatCode="0\ \°"/>
    <numFmt numFmtId="177" formatCode="0\ \s"/>
    <numFmt numFmtId="178" formatCode="0.000"/>
    <numFmt numFmtId="179" formatCode="0.00\ \m\/\s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9.9"/>
      <color theme="1"/>
      <name val="Calibri"/>
      <family val="2"/>
    </font>
    <font>
      <b/>
      <sz val="18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medium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medium">
        <color indexed="64"/>
      </left>
      <right style="thick">
        <color rgb="FFFF0000"/>
      </right>
      <top style="thick">
        <color rgb="FFFF0000"/>
      </top>
      <bottom/>
      <diagonal/>
    </border>
    <border>
      <left/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9">
    <xf numFmtId="0" fontId="0" fillId="0" borderId="0" xfId="0"/>
    <xf numFmtId="0" fontId="2" fillId="6" borderId="10" xfId="0" applyFont="1" applyFill="1" applyBorder="1" applyAlignment="1">
      <alignment horizontal="left" vertical="center"/>
    </xf>
    <xf numFmtId="165" fontId="2" fillId="5" borderId="15" xfId="0" applyNumberFormat="1" applyFont="1" applyFill="1" applyBorder="1"/>
    <xf numFmtId="168" fontId="2" fillId="0" borderId="1" xfId="0" applyNumberFormat="1" applyFont="1" applyBorder="1"/>
    <xf numFmtId="169" fontId="2" fillId="0" borderId="1" xfId="0" applyNumberFormat="1" applyFont="1" applyBorder="1"/>
    <xf numFmtId="166" fontId="2" fillId="5" borderId="15" xfId="0" applyNumberFormat="1" applyFont="1" applyFill="1" applyBorder="1"/>
    <xf numFmtId="0" fontId="0" fillId="0" borderId="0" xfId="0" applyBorder="1"/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169" fontId="0" fillId="0" borderId="17" xfId="0" applyNumberFormat="1" applyFont="1" applyBorder="1"/>
    <xf numFmtId="0" fontId="0" fillId="0" borderId="18" xfId="0" applyBorder="1"/>
    <xf numFmtId="171" fontId="0" fillId="0" borderId="12" xfId="0" applyNumberFormat="1" applyFont="1" applyBorder="1"/>
    <xf numFmtId="171" fontId="0" fillId="0" borderId="7" xfId="0" applyNumberFormat="1" applyFont="1" applyBorder="1"/>
    <xf numFmtId="2" fontId="0" fillId="0" borderId="16" xfId="0" applyNumberFormat="1" applyFont="1" applyBorder="1"/>
    <xf numFmtId="168" fontId="0" fillId="0" borderId="11" xfId="0" applyNumberFormat="1" applyFont="1" applyBorder="1"/>
    <xf numFmtId="168" fontId="0" fillId="0" borderId="5" xfId="0" applyNumberFormat="1" applyFont="1" applyBorder="1"/>
    <xf numFmtId="168" fontId="0" fillId="0" borderId="21" xfId="0" applyNumberFormat="1" applyFont="1" applyBorder="1"/>
    <xf numFmtId="171" fontId="0" fillId="0" borderId="23" xfId="0" applyNumberFormat="1" applyFont="1" applyBorder="1"/>
    <xf numFmtId="171" fontId="0" fillId="0" borderId="0" xfId="0" applyNumberFormat="1" applyFont="1" applyBorder="1"/>
    <xf numFmtId="172" fontId="0" fillId="0" borderId="0" xfId="0" applyNumberFormat="1" applyFont="1" applyBorder="1"/>
    <xf numFmtId="171" fontId="0" fillId="0" borderId="6" xfId="0" applyNumberFormat="1" applyFont="1" applyBorder="1"/>
    <xf numFmtId="169" fontId="0" fillId="0" borderId="9" xfId="0" applyNumberFormat="1" applyFont="1" applyBorder="1"/>
    <xf numFmtId="169" fontId="0" fillId="0" borderId="10" xfId="0" applyNumberFormat="1" applyFont="1" applyBorder="1"/>
    <xf numFmtId="2" fontId="0" fillId="0" borderId="11" xfId="0" applyNumberFormat="1" applyFont="1" applyBorder="1"/>
    <xf numFmtId="2" fontId="0" fillId="0" borderId="5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/>
    <xf numFmtId="0" fontId="2" fillId="6" borderId="13" xfId="0" applyFont="1" applyFill="1" applyBorder="1" applyAlignment="1">
      <alignment horizontal="center" vertical="center"/>
    </xf>
    <xf numFmtId="171" fontId="0" fillId="0" borderId="10" xfId="0" applyNumberFormat="1" applyFont="1" applyBorder="1"/>
    <xf numFmtId="175" fontId="0" fillId="0" borderId="9" xfId="0" applyNumberFormat="1" applyFont="1" applyBorder="1"/>
    <xf numFmtId="175" fontId="0" fillId="0" borderId="16" xfId="0" applyNumberFormat="1" applyFont="1" applyBorder="1"/>
    <xf numFmtId="175" fontId="0" fillId="0" borderId="1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3" fontId="0" fillId="0" borderId="25" xfId="0" applyNumberFormat="1" applyFont="1" applyBorder="1"/>
    <xf numFmtId="173" fontId="0" fillId="0" borderId="6" xfId="0" applyNumberFormat="1" applyFont="1" applyBorder="1"/>
    <xf numFmtId="173" fontId="0" fillId="0" borderId="24" xfId="0" applyNumberFormat="1" applyFont="1" applyBorder="1"/>
    <xf numFmtId="0" fontId="3" fillId="0" borderId="0" xfId="0" applyFont="1" applyFill="1" applyBorder="1" applyAlignment="1">
      <alignment vertical="center"/>
    </xf>
    <xf numFmtId="171" fontId="0" fillId="0" borderId="16" xfId="0" applyNumberFormat="1" applyFont="1" applyBorder="1"/>
    <xf numFmtId="171" fontId="0" fillId="0" borderId="27" xfId="0" applyNumberFormat="1" applyFont="1" applyBorder="1"/>
    <xf numFmtId="168" fontId="2" fillId="0" borderId="11" xfId="0" applyNumberFormat="1" applyFont="1" applyBorder="1"/>
    <xf numFmtId="168" fontId="2" fillId="0" borderId="5" xfId="0" applyNumberFormat="1" applyFont="1" applyBorder="1"/>
    <xf numFmtId="171" fontId="0" fillId="0" borderId="9" xfId="0" applyNumberFormat="1" applyFont="1" applyBorder="1"/>
    <xf numFmtId="173" fontId="0" fillId="0" borderId="0" xfId="0" applyNumberFormat="1" applyFont="1" applyBorder="1"/>
    <xf numFmtId="175" fontId="0" fillId="0" borderId="8" xfId="0" applyNumberFormat="1" applyFont="1" applyBorder="1"/>
    <xf numFmtId="168" fontId="2" fillId="0" borderId="20" xfId="0" applyNumberFormat="1" applyFont="1" applyBorder="1"/>
    <xf numFmtId="0" fontId="2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0" borderId="25" xfId="0" applyBorder="1"/>
    <xf numFmtId="0" fontId="2" fillId="0" borderId="25" xfId="0" applyFont="1" applyBorder="1"/>
    <xf numFmtId="168" fontId="2" fillId="0" borderId="8" xfId="0" applyNumberFormat="1" applyFont="1" applyBorder="1"/>
    <xf numFmtId="168" fontId="2" fillId="0" borderId="9" xfId="0" applyNumberFormat="1" applyFont="1" applyBorder="1"/>
    <xf numFmtId="168" fontId="2" fillId="0" borderId="10" xfId="0" applyNumberFormat="1" applyFont="1" applyBorder="1"/>
    <xf numFmtId="174" fontId="0" fillId="0" borderId="8" xfId="0" applyNumberFormat="1" applyBorder="1"/>
    <xf numFmtId="174" fontId="0" fillId="0" borderId="10" xfId="0" applyNumberFormat="1" applyBorder="1"/>
    <xf numFmtId="174" fontId="0" fillId="0" borderId="11" xfId="0" applyNumberFormat="1" applyBorder="1"/>
    <xf numFmtId="174" fontId="0" fillId="0" borderId="5" xfId="0" applyNumberFormat="1" applyBorder="1"/>
    <xf numFmtId="173" fontId="0" fillId="0" borderId="27" xfId="0" applyNumberFormat="1" applyFont="1" applyBorder="1"/>
    <xf numFmtId="173" fontId="0" fillId="0" borderId="16" xfId="0" applyNumberFormat="1" applyFont="1" applyBorder="1"/>
    <xf numFmtId="173" fontId="0" fillId="0" borderId="10" xfId="0" applyNumberFormat="1" applyFont="1" applyBorder="1"/>
    <xf numFmtId="174" fontId="0" fillId="0" borderId="0" xfId="0" applyNumberFormat="1" applyBorder="1"/>
    <xf numFmtId="174" fontId="0" fillId="0" borderId="27" xfId="0" applyNumberFormat="1" applyBorder="1"/>
    <xf numFmtId="174" fontId="0" fillId="0" borderId="16" xfId="0" applyNumberFormat="1" applyBorder="1"/>
    <xf numFmtId="171" fontId="2" fillId="0" borderId="23" xfId="0" applyNumberFormat="1" applyFont="1" applyBorder="1"/>
    <xf numFmtId="0" fontId="2" fillId="9" borderId="9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  <xf numFmtId="176" fontId="2" fillId="4" borderId="12" xfId="0" applyNumberFormat="1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2" fontId="2" fillId="4" borderId="37" xfId="0" applyNumberFormat="1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168" fontId="2" fillId="0" borderId="22" xfId="0" applyNumberFormat="1" applyFont="1" applyBorder="1"/>
    <xf numFmtId="169" fontId="2" fillId="0" borderId="17" xfId="0" applyNumberFormat="1" applyFont="1" applyBorder="1"/>
    <xf numFmtId="2" fontId="2" fillId="0" borderId="16" xfId="0" applyNumberFormat="1" applyFont="1" applyBorder="1"/>
    <xf numFmtId="174" fontId="2" fillId="0" borderId="17" xfId="0" applyNumberFormat="1" applyFont="1" applyBorder="1"/>
    <xf numFmtId="179" fontId="2" fillId="0" borderId="20" xfId="0" applyNumberFormat="1" applyFont="1" applyBorder="1"/>
    <xf numFmtId="173" fontId="2" fillId="0" borderId="9" xfId="0" applyNumberFormat="1" applyFont="1" applyBorder="1"/>
    <xf numFmtId="175" fontId="2" fillId="0" borderId="20" xfId="0" applyNumberFormat="1" applyFont="1" applyBorder="1"/>
    <xf numFmtId="174" fontId="2" fillId="0" borderId="20" xfId="0" applyNumberFormat="1" applyFont="1" applyBorder="1"/>
    <xf numFmtId="179" fontId="2" fillId="0" borderId="35" xfId="0" applyNumberFormat="1" applyFont="1" applyBorder="1"/>
    <xf numFmtId="173" fontId="2" fillId="0" borderId="0" xfId="0" applyNumberFormat="1" applyFont="1" applyBorder="1"/>
    <xf numFmtId="171" fontId="2" fillId="0" borderId="9" xfId="0" applyNumberFormat="1" applyFont="1" applyBorder="1"/>
    <xf numFmtId="179" fontId="0" fillId="0" borderId="12" xfId="0" applyNumberFormat="1" applyFont="1" applyFill="1" applyBorder="1"/>
    <xf numFmtId="179" fontId="0" fillId="0" borderId="23" xfId="0" applyNumberFormat="1" applyFont="1" applyFill="1" applyBorder="1"/>
    <xf numFmtId="179" fontId="0" fillId="0" borderId="7" xfId="0" applyNumberFormat="1" applyFont="1" applyFill="1" applyBorder="1"/>
    <xf numFmtId="179" fontId="0" fillId="0" borderId="8" xfId="0" applyNumberFormat="1" applyFont="1" applyFill="1" applyBorder="1"/>
    <xf numFmtId="179" fontId="0" fillId="0" borderId="16" xfId="0" applyNumberFormat="1" applyFont="1" applyFill="1" applyBorder="1"/>
    <xf numFmtId="179" fontId="0" fillId="0" borderId="10" xfId="0" applyNumberFormat="1" applyFont="1" applyFill="1" applyBorder="1"/>
    <xf numFmtId="174" fontId="2" fillId="5" borderId="27" xfId="0" applyNumberFormat="1" applyFont="1" applyFill="1" applyBorder="1"/>
    <xf numFmtId="171" fontId="2" fillId="5" borderId="27" xfId="0" applyNumberFormat="1" applyFont="1" applyFill="1" applyBorder="1"/>
    <xf numFmtId="174" fontId="2" fillId="5" borderId="20" xfId="0" applyNumberFormat="1" applyFont="1" applyFill="1" applyBorder="1"/>
    <xf numFmtId="171" fontId="2" fillId="5" borderId="9" xfId="0" applyNumberFormat="1" applyFont="1" applyFill="1" applyBorder="1"/>
    <xf numFmtId="174" fontId="2" fillId="5" borderId="11" xfId="0" applyNumberFormat="1" applyFont="1" applyFill="1" applyBorder="1"/>
    <xf numFmtId="171" fontId="2" fillId="5" borderId="16" xfId="0" applyNumberFormat="1" applyFont="1" applyFill="1" applyBorder="1"/>
    <xf numFmtId="174" fontId="2" fillId="5" borderId="5" xfId="0" applyNumberFormat="1" applyFont="1" applyFill="1" applyBorder="1"/>
    <xf numFmtId="171" fontId="2" fillId="5" borderId="10" xfId="0" applyNumberFormat="1" applyFont="1" applyFill="1" applyBorder="1"/>
    <xf numFmtId="174" fontId="2" fillId="5" borderId="2" xfId="0" applyNumberFormat="1" applyFont="1" applyFill="1" applyBorder="1"/>
    <xf numFmtId="171" fontId="2" fillId="5" borderId="8" xfId="0" applyNumberFormat="1" applyFont="1" applyFill="1" applyBorder="1"/>
    <xf numFmtId="174" fontId="2" fillId="5" borderId="16" xfId="0" applyNumberFormat="1" applyFont="1" applyFill="1" applyBorder="1"/>
    <xf numFmtId="171" fontId="2" fillId="5" borderId="20" xfId="0" applyNumberFormat="1" applyFont="1" applyFill="1" applyBorder="1"/>
    <xf numFmtId="174" fontId="2" fillId="5" borderId="28" xfId="0" applyNumberFormat="1" applyFont="1" applyFill="1" applyBorder="1"/>
    <xf numFmtId="174" fontId="2" fillId="5" borderId="26" xfId="0" applyNumberFormat="1" applyFont="1" applyFill="1" applyBorder="1"/>
    <xf numFmtId="171" fontId="2" fillId="5" borderId="11" xfId="0" applyNumberFormat="1" applyFont="1" applyFill="1" applyBorder="1"/>
    <xf numFmtId="171" fontId="2" fillId="5" borderId="5" xfId="0" applyNumberFormat="1" applyFont="1" applyFill="1" applyBorder="1"/>
    <xf numFmtId="174" fontId="2" fillId="5" borderId="21" xfId="0" applyNumberFormat="1" applyFont="1" applyFill="1" applyBorder="1"/>
    <xf numFmtId="171" fontId="2" fillId="5" borderId="2" xfId="0" applyNumberFormat="1" applyFont="1" applyFill="1" applyBorder="1"/>
    <xf numFmtId="171" fontId="2" fillId="5" borderId="21" xfId="0" applyNumberFormat="1" applyFont="1" applyFill="1" applyBorder="1"/>
    <xf numFmtId="171" fontId="2" fillId="5" borderId="19" xfId="0" applyNumberFormat="1" applyFont="1" applyFill="1" applyBorder="1"/>
    <xf numFmtId="0" fontId="0" fillId="0" borderId="0" xfId="0" applyFill="1"/>
    <xf numFmtId="176" fontId="2" fillId="10" borderId="6" xfId="0" applyNumberFormat="1" applyFont="1" applyFill="1" applyBorder="1" applyAlignment="1">
      <alignment horizontal="center" vertical="center"/>
    </xf>
    <xf numFmtId="176" fontId="2" fillId="10" borderId="7" xfId="0" applyNumberFormat="1" applyFont="1" applyFill="1" applyBorder="1" applyAlignment="1">
      <alignment horizontal="center" vertical="center"/>
    </xf>
    <xf numFmtId="172" fontId="4" fillId="0" borderId="30" xfId="0" applyNumberFormat="1" applyFont="1" applyBorder="1" applyAlignment="1">
      <alignment horizontal="center" vertical="center"/>
    </xf>
    <xf numFmtId="172" fontId="4" fillId="0" borderId="31" xfId="0" applyNumberFormat="1" applyFont="1" applyBorder="1" applyAlignment="1">
      <alignment horizontal="center" vertical="center"/>
    </xf>
    <xf numFmtId="10" fontId="11" fillId="2" borderId="30" xfId="1" applyNumberFormat="1" applyFont="1" applyBorder="1" applyAlignment="1">
      <alignment horizontal="center" vertical="center"/>
    </xf>
    <xf numFmtId="10" fontId="11" fillId="2" borderId="31" xfId="1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178" fontId="2" fillId="10" borderId="38" xfId="0" applyNumberFormat="1" applyFont="1" applyFill="1" applyBorder="1" applyAlignment="1">
      <alignment horizontal="center" vertical="center"/>
    </xf>
    <xf numFmtId="178" fontId="2" fillId="10" borderId="39" xfId="0" applyNumberFormat="1" applyFont="1" applyFill="1" applyBorder="1" applyAlignment="1">
      <alignment horizontal="center" vertical="center"/>
    </xf>
    <xf numFmtId="178" fontId="2" fillId="10" borderId="40" xfId="0" applyNumberFormat="1" applyFont="1" applyFill="1" applyBorder="1" applyAlignment="1">
      <alignment horizontal="center" vertical="center"/>
    </xf>
    <xf numFmtId="176" fontId="2" fillId="10" borderId="0" xfId="0" applyNumberFormat="1" applyFont="1" applyFill="1" applyBorder="1" applyAlignment="1">
      <alignment horizontal="center" vertical="center"/>
    </xf>
    <xf numFmtId="176" fontId="2" fillId="10" borderId="12" xfId="0" applyNumberFormat="1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1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7" fontId="2" fillId="0" borderId="12" xfId="0" applyNumberFormat="1" applyFont="1" applyBorder="1" applyAlignment="1">
      <alignment horizontal="center"/>
    </xf>
    <xf numFmtId="170" fontId="2" fillId="0" borderId="5" xfId="0" applyNumberFormat="1" applyFont="1" applyBorder="1" applyAlignment="1">
      <alignment horizontal="center"/>
    </xf>
    <xf numFmtId="170" fontId="2" fillId="0" borderId="6" xfId="0" applyNumberFormat="1" applyFont="1" applyBorder="1" applyAlignment="1">
      <alignment horizontal="center"/>
    </xf>
    <xf numFmtId="170" fontId="2" fillId="0" borderId="7" xfId="0" applyNumberFormat="1" applyFont="1" applyBorder="1" applyAlignment="1">
      <alignment horizont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9" fontId="2" fillId="0" borderId="5" xfId="0" applyNumberFormat="1" applyFont="1" applyBorder="1" applyAlignment="1">
      <alignment horizontal="center"/>
    </xf>
    <xf numFmtId="169" fontId="2" fillId="0" borderId="7" xfId="0" applyNumberFormat="1" applyFont="1" applyBorder="1" applyAlignment="1">
      <alignment horizontal="center"/>
    </xf>
    <xf numFmtId="2" fontId="2" fillId="4" borderId="38" xfId="0" applyNumberFormat="1" applyFont="1" applyFill="1" applyBorder="1" applyAlignment="1">
      <alignment horizontal="center" vertical="center"/>
    </xf>
    <xf numFmtId="2" fontId="2" fillId="4" borderId="39" xfId="0" applyNumberFormat="1" applyFont="1" applyFill="1" applyBorder="1" applyAlignment="1">
      <alignment horizontal="center" vertical="center"/>
    </xf>
    <xf numFmtId="2" fontId="2" fillId="4" borderId="40" xfId="0" applyNumberFormat="1" applyFont="1" applyFill="1" applyBorder="1" applyAlignment="1">
      <alignment horizontal="center" vertical="center"/>
    </xf>
    <xf numFmtId="168" fontId="2" fillId="0" borderId="11" xfId="0" applyNumberFormat="1" applyFont="1" applyBorder="1" applyAlignment="1">
      <alignment horizontal="center"/>
    </xf>
    <xf numFmtId="168" fontId="2" fillId="0" borderId="12" xfId="0" applyNumberFormat="1" applyFont="1" applyBorder="1" applyAlignment="1">
      <alignment horizontal="center"/>
    </xf>
    <xf numFmtId="176" fontId="2" fillId="4" borderId="11" xfId="0" applyNumberFormat="1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  <xf numFmtId="176" fontId="2" fillId="4" borderId="12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4" borderId="6" xfId="0" applyNumberFormat="1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0" fontId="12" fillId="2" borderId="11" xfId="1" applyNumberFormat="1" applyFont="1" applyBorder="1"/>
    <xf numFmtId="10" fontId="12" fillId="2" borderId="5" xfId="1" applyNumberFormat="1" applyFont="1" applyBorder="1"/>
    <xf numFmtId="10" fontId="12" fillId="2" borderId="26" xfId="1" applyNumberFormat="1" applyFont="1" applyBorder="1"/>
    <xf numFmtId="10" fontId="12" fillId="2" borderId="28" xfId="1" applyNumberFormat="1" applyFont="1" applyBorder="1"/>
    <xf numFmtId="10" fontId="12" fillId="2" borderId="2" xfId="1" applyNumberFormat="1" applyFont="1" applyBorder="1"/>
    <xf numFmtId="10" fontId="12" fillId="2" borderId="34" xfId="1" applyNumberFormat="1" applyFont="1" applyBorder="1"/>
    <xf numFmtId="10" fontId="12" fillId="2" borderId="36" xfId="1" applyNumberFormat="1" applyFont="1" applyBorder="1"/>
    <xf numFmtId="172" fontId="13" fillId="5" borderId="29" xfId="0" applyNumberFormat="1" applyFont="1" applyFill="1" applyBorder="1" applyAlignment="1">
      <alignment horizontal="center" vertical="center"/>
    </xf>
    <xf numFmtId="172" fontId="13" fillId="5" borderId="30" xfId="0" applyNumberFormat="1" applyFont="1" applyFill="1" applyBorder="1" applyAlignment="1">
      <alignment horizontal="center" vertical="center"/>
    </xf>
    <xf numFmtId="172" fontId="13" fillId="5" borderId="31" xfId="0" applyNumberFormat="1" applyFont="1" applyFill="1" applyBorder="1" applyAlignment="1">
      <alignment horizontal="center" vertical="center"/>
    </xf>
    <xf numFmtId="10" fontId="11" fillId="2" borderId="29" xfId="1" applyNumberFormat="1" applyFont="1" applyBorder="1" applyAlignment="1">
      <alignment horizontal="center" vertical="center"/>
    </xf>
    <xf numFmtId="10" fontId="11" fillId="2" borderId="33" xfId="1" applyNumberFormat="1" applyFont="1" applyBorder="1" applyAlignment="1">
      <alignment horizontal="center" vertical="center"/>
    </xf>
    <xf numFmtId="10" fontId="11" fillId="2" borderId="18" xfId="1" applyNumberFormat="1" applyFont="1" applyBorder="1" applyAlignment="1">
      <alignment horizontal="center" vertical="center"/>
    </xf>
    <xf numFmtId="10" fontId="11" fillId="2" borderId="32" xfId="1" applyNumberFormat="1" applyFont="1" applyBorder="1" applyAlignment="1">
      <alignment horizontal="center" vertical="center"/>
    </xf>
    <xf numFmtId="179" fontId="2" fillId="0" borderId="23" xfId="0" applyNumberFormat="1" applyFont="1" applyFill="1" applyBorder="1"/>
    <xf numFmtId="0" fontId="14" fillId="10" borderId="13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it-IT" sz="1800"/>
              <a:t>Comparison</a:t>
            </a:r>
            <a:r>
              <a:rPr lang="it-IT" sz="1800" baseline="0"/>
              <a:t> between Statistical TO field length and JPAD calculation at different W/S and T/W</a:t>
            </a:r>
            <a:endParaRPr lang="it-IT" sz="18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T/W=0.245 Statistical</c:v>
          </c:tx>
          <c:xVal>
            <c:numRef>
              <c:f>'TO&amp;Landing Sensibility Analysis'!$A$31:$A$34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Analysis'!$F$31:$F$34</c:f>
              <c:numCache>
                <c:formatCode>0.00\ \m</c:formatCode>
                <c:ptCount val="4"/>
                <c:pt idx="0">
                  <c:v>2990.4216258092024</c:v>
                </c:pt>
                <c:pt idx="1">
                  <c:v>3322.6906953435582</c:v>
                </c:pt>
                <c:pt idx="2">
                  <c:v>3654.959764877914</c:v>
                </c:pt>
                <c:pt idx="3">
                  <c:v>3987.2288344122708</c:v>
                </c:pt>
              </c:numCache>
            </c:numRef>
          </c:yVal>
          <c:smooth val="1"/>
        </c:ser>
        <c:ser>
          <c:idx val="1"/>
          <c:order val="1"/>
          <c:tx>
            <c:v>T/W=0.245 JPAD</c:v>
          </c:tx>
          <c:marker>
            <c:symbol val="square"/>
            <c:size val="5"/>
          </c:marker>
          <c:xVal>
            <c:numRef>
              <c:f>'TO&amp;Landing Sensibility Analysis'!$A$31:$A$34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Analysis'!$D$31:$D$34</c:f>
              <c:numCache>
                <c:formatCode>0.00\ \m</c:formatCode>
                <c:ptCount val="4"/>
                <c:pt idx="0">
                  <c:v>2847.8851311140129</c:v>
                </c:pt>
                <c:pt idx="1">
                  <c:v>3171.9138412489833</c:v>
                </c:pt>
                <c:pt idx="2">
                  <c:v>3495.9371340584157</c:v>
                </c:pt>
                <c:pt idx="3">
                  <c:v>3828.5577023939868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0048"/>
        <c:axId val="161490624"/>
      </c:scatterChart>
      <c:valAx>
        <c:axId val="161490048"/>
        <c:scaling>
          <c:orientation val="minMax"/>
          <c:max val="175"/>
          <c:min val="1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="1" i="0" baseline="0">
                    <a:effectLst/>
                  </a:rPr>
                  <a:t>W/S (lb/ft^2)</a:t>
                </a:r>
                <a:endParaRPr lang="it-IT" sz="1400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61490624"/>
        <c:crosses val="autoZero"/>
        <c:crossBetween val="midCat"/>
      </c:valAx>
      <c:valAx>
        <c:axId val="161490624"/>
        <c:scaling>
          <c:orientation val="minMax"/>
          <c:max val="4200"/>
          <c:min val="26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TO</a:t>
                </a:r>
                <a:r>
                  <a:rPr lang="it-IT" sz="1400" baseline="0"/>
                  <a:t> Field Length</a:t>
                </a:r>
                <a:endParaRPr lang="it-IT" sz="1400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61490048"/>
        <c:crosses val="autoZero"/>
        <c:crossBetween val="midCat"/>
        <c:majorUnit val="200"/>
        <c:minorUnit val="50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T/W=0.299 Statistical</c:v>
          </c:tx>
          <c:xVal>
            <c:numRef>
              <c:f>'TO&amp;Landing Sensibility Analysis'!$A$39:$A$42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Analysis'!$F$39:$F$42</c:f>
              <c:numCache>
                <c:formatCode>0.00\ \m</c:formatCode>
                <c:ptCount val="4"/>
                <c:pt idx="0">
                  <c:v>2446.7086029348025</c:v>
                </c:pt>
                <c:pt idx="1">
                  <c:v>2718.5651143720029</c:v>
                </c:pt>
                <c:pt idx="2">
                  <c:v>2990.4216258092033</c:v>
                </c:pt>
                <c:pt idx="3">
                  <c:v>3262.2781372464037</c:v>
                </c:pt>
              </c:numCache>
            </c:numRef>
          </c:yVal>
          <c:smooth val="1"/>
        </c:ser>
        <c:ser>
          <c:idx val="1"/>
          <c:order val="1"/>
          <c:tx>
            <c:v>T/W=0.299 JPAD</c:v>
          </c:tx>
          <c:marker>
            <c:symbol val="square"/>
            <c:size val="5"/>
          </c:marker>
          <c:xVal>
            <c:numRef>
              <c:f>'TO&amp;Landing Sensibility Analysis'!$A$39:$A$42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Analysis'!$D$39:$D$42</c:f>
              <c:numCache>
                <c:formatCode>0.00\ \m</c:formatCode>
                <c:ptCount val="4"/>
                <c:pt idx="0">
                  <c:v>2304.5343691409353</c:v>
                </c:pt>
                <c:pt idx="1">
                  <c:v>2561.0242758086192</c:v>
                </c:pt>
                <c:pt idx="2">
                  <c:v>2816.6594182422414</c:v>
                </c:pt>
                <c:pt idx="3">
                  <c:v>3079.7282851409509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2352"/>
        <c:axId val="161492928"/>
      </c:scatterChart>
      <c:valAx>
        <c:axId val="161492352"/>
        <c:scaling>
          <c:orientation val="minMax"/>
          <c:max val="175"/>
          <c:min val="1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W/S (lb/ft^2)</a:t>
                </a:r>
                <a:endParaRPr lang="it-IT" sz="1400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61492928"/>
        <c:crosses val="autoZero"/>
        <c:crossBetween val="midCat"/>
      </c:valAx>
      <c:valAx>
        <c:axId val="161492928"/>
        <c:scaling>
          <c:orientation val="minMax"/>
          <c:max val="3400"/>
          <c:min val="2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TO</a:t>
                </a:r>
                <a:r>
                  <a:rPr lang="it-IT" sz="1400" baseline="0"/>
                  <a:t> Field Length</a:t>
                </a:r>
                <a:endParaRPr lang="it-IT" sz="1400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6149235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T/W=0.313 Statistical</c:v>
          </c:tx>
          <c:xVal>
            <c:numRef>
              <c:f>'TO&amp;Landing Sensibility Analysis'!$A$43:$A$46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Analysis'!$F$43:$F$46</c:f>
              <c:numCache>
                <c:formatCode>0.00\ \m</c:formatCode>
                <c:ptCount val="4"/>
                <c:pt idx="0">
                  <c:v>2242.8162193569024</c:v>
                </c:pt>
                <c:pt idx="1">
                  <c:v>2492.0180215076689</c:v>
                </c:pt>
                <c:pt idx="2">
                  <c:v>2741.2198236584359</c:v>
                </c:pt>
                <c:pt idx="3">
                  <c:v>2990.4216258092033</c:v>
                </c:pt>
              </c:numCache>
            </c:numRef>
          </c:yVal>
          <c:smooth val="1"/>
        </c:ser>
        <c:ser>
          <c:idx val="1"/>
          <c:order val="1"/>
          <c:tx>
            <c:v>T/W=0.313 JPAD</c:v>
          </c:tx>
          <c:marker>
            <c:symbol val="square"/>
            <c:size val="5"/>
          </c:marker>
          <c:xVal>
            <c:numRef>
              <c:f>'TO&amp;Landing Sensibility Analysis'!$A$43:$A$46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Analysis'!$D$43:$D$46</c:f>
              <c:numCache>
                <c:formatCode>0.00\ \m</c:formatCode>
                <c:ptCount val="4"/>
                <c:pt idx="0">
                  <c:v>2117.7867357679634</c:v>
                </c:pt>
                <c:pt idx="1">
                  <c:v>2349.4317007165855</c:v>
                </c:pt>
                <c:pt idx="2">
                  <c:v>2580.3262981780549</c:v>
                </c:pt>
                <c:pt idx="3">
                  <c:v>2817.8166205540574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4656"/>
        <c:axId val="161495232"/>
      </c:scatterChart>
      <c:valAx>
        <c:axId val="161494656"/>
        <c:scaling>
          <c:orientation val="minMax"/>
          <c:max val="175"/>
          <c:min val="1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W/S (lb/ft^2)</a:t>
                </a:r>
                <a:endParaRPr lang="it-IT" sz="1400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61495232"/>
        <c:crosses val="autoZero"/>
        <c:crossBetween val="midCat"/>
      </c:valAx>
      <c:valAx>
        <c:axId val="161495232"/>
        <c:scaling>
          <c:orientation val="minMax"/>
          <c:max val="3150"/>
          <c:min val="195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TO</a:t>
                </a:r>
                <a:r>
                  <a:rPr lang="it-IT" sz="1400" baseline="0"/>
                  <a:t> Field Length</a:t>
                </a:r>
                <a:endParaRPr lang="it-IT" sz="1400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61494656"/>
        <c:crosses val="autoZero"/>
        <c:crossBetween val="midCat"/>
        <c:majorUnit val="200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T/W=0.272 Statistical</c:v>
          </c:tx>
          <c:xVal>
            <c:numRef>
              <c:f>'TO&amp;Landing Sensibility Analysis'!$A$35:$A$38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Analysis'!$F$35:$F$38</c:f>
              <c:numCache>
                <c:formatCode>0.00\ \m</c:formatCode>
                <c:ptCount val="4"/>
                <c:pt idx="0">
                  <c:v>2691.3794632282825</c:v>
                </c:pt>
                <c:pt idx="1">
                  <c:v>2990.4216258092024</c:v>
                </c:pt>
                <c:pt idx="2">
                  <c:v>3289.4637883901228</c:v>
                </c:pt>
                <c:pt idx="3">
                  <c:v>3588.5059509710436</c:v>
                </c:pt>
              </c:numCache>
            </c:numRef>
          </c:yVal>
          <c:smooth val="1"/>
        </c:ser>
        <c:ser>
          <c:idx val="1"/>
          <c:order val="1"/>
          <c:tx>
            <c:v>T/W=0.272 JPAD</c:v>
          </c:tx>
          <c:marker>
            <c:symbol val="square"/>
            <c:size val="5"/>
          </c:marker>
          <c:xVal>
            <c:numRef>
              <c:f>'TO&amp;Landing Sensibility Analysis'!$A$35:$A$38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Analysis'!$D$35:$D$38</c:f>
              <c:numCache>
                <c:formatCode>0.00\ \m</c:formatCode>
                <c:ptCount val="4"/>
                <c:pt idx="0">
                  <c:v>2552.3725714627167</c:v>
                </c:pt>
                <c:pt idx="1">
                  <c:v>2837.6594908847437</c:v>
                </c:pt>
                <c:pt idx="2">
                  <c:v>3122.1289491589532</c:v>
                </c:pt>
                <c:pt idx="3">
                  <c:v>3413.7527539907032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0816"/>
        <c:axId val="161571392"/>
      </c:scatterChart>
      <c:valAx>
        <c:axId val="161570816"/>
        <c:scaling>
          <c:orientation val="minMax"/>
          <c:max val="175"/>
          <c:min val="1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="1" i="0" baseline="0">
                    <a:effectLst/>
                  </a:rPr>
                  <a:t>W/S (lb/ft^2)</a:t>
                </a:r>
                <a:endParaRPr lang="it-IT" sz="1400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61571392"/>
        <c:crosses val="autoZero"/>
        <c:crossBetween val="midCat"/>
      </c:valAx>
      <c:valAx>
        <c:axId val="161571392"/>
        <c:scaling>
          <c:orientation val="minMax"/>
          <c:max val="3800"/>
          <c:min val="2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TO</a:t>
                </a:r>
                <a:r>
                  <a:rPr lang="it-IT" sz="1400" baseline="0"/>
                  <a:t> Field Length</a:t>
                </a:r>
                <a:endParaRPr lang="it-IT" sz="1400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61570816"/>
        <c:crosses val="autoZero"/>
        <c:crossBetween val="midCat"/>
        <c:majorUnit val="200"/>
        <c:minorUnit val="50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Landing field length and JPAD calculation at different W/S 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CLmax=2.67 Statistical</c:v>
          </c:tx>
          <c:xVal>
            <c:numRef>
              <c:f>'TO&amp;Landing Sensibility Analysis'!$A$51:$A$54</c:f>
              <c:numCache>
                <c:formatCode>0\ \l\b\/\f\t\^\2</c:formatCode>
                <c:ptCount val="4"/>
                <c:pt idx="0">
                  <c:v>96.3</c:v>
                </c:pt>
                <c:pt idx="1">
                  <c:v>107</c:v>
                </c:pt>
                <c:pt idx="2">
                  <c:v>117.7</c:v>
                </c:pt>
                <c:pt idx="3">
                  <c:v>128.4</c:v>
                </c:pt>
              </c:numCache>
            </c:numRef>
          </c:xVal>
          <c:yVal>
            <c:numRef>
              <c:f>'TO&amp;Landing Sensibility Analysis'!$J$51:$J$54</c:f>
              <c:numCache>
                <c:formatCode>0.00\ \m</c:formatCode>
                <c:ptCount val="4"/>
                <c:pt idx="0">
                  <c:v>1645.3979659343022</c:v>
                </c:pt>
                <c:pt idx="1">
                  <c:v>1828.2199621492068</c:v>
                </c:pt>
                <c:pt idx="2">
                  <c:v>2012.6112458852831</c:v>
                </c:pt>
                <c:pt idx="3">
                  <c:v>2196.4328819263574</c:v>
                </c:pt>
              </c:numCache>
            </c:numRef>
          </c:yVal>
          <c:smooth val="1"/>
        </c:ser>
        <c:ser>
          <c:idx val="1"/>
          <c:order val="1"/>
          <c:tx>
            <c:v>CLmax=2.67 JPAD</c:v>
          </c:tx>
          <c:marker>
            <c:symbol val="square"/>
            <c:size val="5"/>
          </c:marker>
          <c:xVal>
            <c:numRef>
              <c:f>'TO&amp;Landing Sensibility Analysis'!$A$51:$A$54</c:f>
              <c:numCache>
                <c:formatCode>0\ \l\b\/\f\t\^\2</c:formatCode>
                <c:ptCount val="4"/>
                <c:pt idx="0">
                  <c:v>96.3</c:v>
                </c:pt>
                <c:pt idx="1">
                  <c:v>107</c:v>
                </c:pt>
                <c:pt idx="2">
                  <c:v>117.7</c:v>
                </c:pt>
                <c:pt idx="3">
                  <c:v>128.4</c:v>
                </c:pt>
              </c:numCache>
            </c:numRef>
          </c:xVal>
          <c:yVal>
            <c:numRef>
              <c:f>'TO&amp;Landing Sensibility Analysis'!$E$51:$E$54</c:f>
              <c:numCache>
                <c:formatCode>0.00\ \m</c:formatCode>
                <c:ptCount val="4"/>
                <c:pt idx="0">
                  <c:v>1810.1073719033177</c:v>
                </c:pt>
                <c:pt idx="1">
                  <c:v>1940.1728477137456</c:v>
                </c:pt>
                <c:pt idx="2">
                  <c:v>2070.2933337349682</c:v>
                </c:pt>
                <c:pt idx="3">
                  <c:v>2199.0640925555817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3120"/>
        <c:axId val="161573696"/>
      </c:scatterChart>
      <c:valAx>
        <c:axId val="161573120"/>
        <c:scaling>
          <c:orientation val="minMax"/>
          <c:max val="135"/>
          <c:min val="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W/S (lb/ft^2)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61573696"/>
        <c:crosses val="autoZero"/>
        <c:crossBetween val="midCat"/>
      </c:valAx>
      <c:valAx>
        <c:axId val="161573696"/>
        <c:scaling>
          <c:orientation val="minMax"/>
          <c:max val="2250"/>
          <c:min val="16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aseline="0"/>
                  <a:t>Landing Field Length</a:t>
                </a:r>
                <a:endParaRPr lang="it-IT" sz="1400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61573120"/>
        <c:crosses val="autoZero"/>
        <c:crossBetween val="midCat"/>
        <c:majorUnit val="100"/>
        <c:minorUnit val="50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Landing field length and JPAD calculation at different W/S 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CLmax=2.55 Statistical</c:v>
          </c:tx>
          <c:xVal>
            <c:numRef>
              <c:f>'TO&amp;Landing Sensibility Analysis'!$A$57:$A$60</c:f>
              <c:numCache>
                <c:formatCode>0\ \l\b\/\f\t\^\2</c:formatCode>
                <c:ptCount val="4"/>
                <c:pt idx="0">
                  <c:v>96.3</c:v>
                </c:pt>
                <c:pt idx="1">
                  <c:v>107</c:v>
                </c:pt>
                <c:pt idx="2">
                  <c:v>117.7</c:v>
                </c:pt>
                <c:pt idx="3">
                  <c:v>128.4</c:v>
                </c:pt>
              </c:numCache>
            </c:numRef>
          </c:xVal>
          <c:yVal>
            <c:numRef>
              <c:f>'TO&amp;Landing Sensibility Analysis'!$J$57:$J$60</c:f>
              <c:numCache>
                <c:formatCode>0.00\ \m</c:formatCode>
                <c:ptCount val="4"/>
                <c:pt idx="0">
                  <c:v>1721.8416639188554</c:v>
                </c:pt>
                <c:pt idx="1">
                  <c:v>1913.1574043542539</c:v>
                </c:pt>
                <c:pt idx="2">
                  <c:v>2106.1153399865584</c:v>
                </c:pt>
                <c:pt idx="3">
                  <c:v>2298.4771626083102</c:v>
                </c:pt>
              </c:numCache>
            </c:numRef>
          </c:yVal>
          <c:smooth val="1"/>
        </c:ser>
        <c:ser>
          <c:idx val="1"/>
          <c:order val="1"/>
          <c:tx>
            <c:v>CLmax=2.55 JPAD</c:v>
          </c:tx>
          <c:marker>
            <c:symbol val="square"/>
            <c:size val="5"/>
          </c:marker>
          <c:xVal>
            <c:numRef>
              <c:f>'TO&amp;Landing Sensibility Analysis'!$A$57:$A$60</c:f>
              <c:numCache>
                <c:formatCode>0\ \l\b\/\f\t\^\2</c:formatCode>
                <c:ptCount val="4"/>
                <c:pt idx="0">
                  <c:v>96.3</c:v>
                </c:pt>
                <c:pt idx="1">
                  <c:v>107</c:v>
                </c:pt>
                <c:pt idx="2">
                  <c:v>117.7</c:v>
                </c:pt>
                <c:pt idx="3">
                  <c:v>128.4</c:v>
                </c:pt>
              </c:numCache>
            </c:numRef>
          </c:xVal>
          <c:yVal>
            <c:numRef>
              <c:f>'TO&amp;Landing Sensibility Analysis'!$E$57:$E$60</c:f>
              <c:numCache>
                <c:formatCode>0.00\ \m</c:formatCode>
                <c:ptCount val="4"/>
                <c:pt idx="0">
                  <c:v>1876.3645511062136</c:v>
                </c:pt>
                <c:pt idx="1">
                  <c:v>2013.22287796828</c:v>
                </c:pt>
                <c:pt idx="2">
                  <c:v>2150.1372319145889</c:v>
                </c:pt>
                <c:pt idx="3">
                  <c:v>2285.6273928994906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5424"/>
        <c:axId val="161576000"/>
      </c:scatterChart>
      <c:valAx>
        <c:axId val="161575424"/>
        <c:scaling>
          <c:orientation val="minMax"/>
          <c:max val="135"/>
          <c:min val="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W/S (lb/ft^2)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61576000"/>
        <c:crosses val="autoZero"/>
        <c:crossBetween val="midCat"/>
      </c:valAx>
      <c:valAx>
        <c:axId val="161576000"/>
        <c:scaling>
          <c:orientation val="minMax"/>
          <c:max val="2350"/>
          <c:min val="165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aseline="0"/>
                  <a:t>Landing Field Length</a:t>
                </a:r>
                <a:endParaRPr lang="it-IT" sz="1400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61575424"/>
        <c:crosses val="autoZero"/>
        <c:crossBetween val="midCat"/>
        <c:majorUnit val="100"/>
        <c:minorUnit val="50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Landing field length and JPAD calculation at different W/S 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CLmax=2.43 Statistical</c:v>
          </c:tx>
          <c:xVal>
            <c:numRef>
              <c:f>'TO&amp;Landing Sensibility Analysis'!$A$63:$A$66</c:f>
              <c:numCache>
                <c:formatCode>0\ \l\b\/\f\t\^\2</c:formatCode>
                <c:ptCount val="4"/>
                <c:pt idx="0">
                  <c:v>96.3</c:v>
                </c:pt>
                <c:pt idx="1">
                  <c:v>107</c:v>
                </c:pt>
                <c:pt idx="2">
                  <c:v>117.7</c:v>
                </c:pt>
                <c:pt idx="3">
                  <c:v>128.4</c:v>
                </c:pt>
              </c:numCache>
            </c:numRef>
          </c:xVal>
          <c:yVal>
            <c:numRef>
              <c:f>'TO&amp;Landing Sensibility Analysis'!$J$63:$J$66</c:f>
              <c:numCache>
                <c:formatCode>0.00\ \m</c:formatCode>
                <c:ptCount val="4"/>
                <c:pt idx="0">
                  <c:v>1803.8044568869641</c:v>
                </c:pt>
                <c:pt idx="1">
                  <c:v>2004.2271743188655</c:v>
                </c:pt>
                <c:pt idx="2">
                  <c:v>2206.3702584240164</c:v>
                </c:pt>
                <c:pt idx="3">
                  <c:v>2407.8888534556954</c:v>
                </c:pt>
              </c:numCache>
            </c:numRef>
          </c:yVal>
          <c:smooth val="1"/>
        </c:ser>
        <c:ser>
          <c:idx val="1"/>
          <c:order val="1"/>
          <c:tx>
            <c:v>CLmax=2.43 JPAD</c:v>
          </c:tx>
          <c:marker>
            <c:symbol val="square"/>
            <c:size val="5"/>
          </c:marker>
          <c:xVal>
            <c:numRef>
              <c:f>'TO&amp;Landing Sensibility Analysis'!$A$63:$A$66</c:f>
              <c:numCache>
                <c:formatCode>0\ \l\b\/\f\t\^\2</c:formatCode>
                <c:ptCount val="4"/>
                <c:pt idx="0">
                  <c:v>96.3</c:v>
                </c:pt>
                <c:pt idx="1">
                  <c:v>107</c:v>
                </c:pt>
                <c:pt idx="2">
                  <c:v>117.7</c:v>
                </c:pt>
                <c:pt idx="3">
                  <c:v>128.4</c:v>
                </c:pt>
              </c:numCache>
            </c:numRef>
          </c:xVal>
          <c:yVal>
            <c:numRef>
              <c:f>'TO&amp;Landing Sensibility Analysis'!$E$63:$E$66</c:f>
              <c:numCache>
                <c:formatCode>0.00\ \m</c:formatCode>
                <c:ptCount val="4"/>
                <c:pt idx="0">
                  <c:v>1922.347114254489</c:v>
                </c:pt>
                <c:pt idx="1">
                  <c:v>2063.9964095288165</c:v>
                </c:pt>
                <c:pt idx="2">
                  <c:v>2205.7318822632183</c:v>
                </c:pt>
                <c:pt idx="3">
                  <c:v>2346.018730796397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7728"/>
        <c:axId val="161578304"/>
      </c:scatterChart>
      <c:valAx>
        <c:axId val="161577728"/>
        <c:scaling>
          <c:orientation val="minMax"/>
          <c:max val="135"/>
          <c:min val="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W/S (lb/ft^2)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61578304"/>
        <c:crosses val="autoZero"/>
        <c:crossBetween val="midCat"/>
      </c:valAx>
      <c:valAx>
        <c:axId val="161578304"/>
        <c:scaling>
          <c:orientation val="minMax"/>
          <c:max val="2500"/>
          <c:min val="175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aseline="0"/>
                  <a:t>Landing Field Length</a:t>
                </a:r>
                <a:endParaRPr lang="it-IT" sz="1400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61577728"/>
        <c:crosses val="autoZero"/>
        <c:crossBetween val="midCat"/>
        <c:majorUnit val="100"/>
        <c:minorUnit val="50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257628</xdr:colOff>
      <xdr:row>1</xdr:row>
      <xdr:rowOff>14515</xdr:rowOff>
    </xdr:from>
    <xdr:to>
      <xdr:col>10</xdr:col>
      <xdr:colOff>356688</xdr:colOff>
      <xdr:row>27</xdr:row>
      <xdr:rowOff>55336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255979</xdr:colOff>
      <xdr:row>27</xdr:row>
      <xdr:rowOff>131947</xdr:rowOff>
    </xdr:from>
    <xdr:to>
      <xdr:col>10</xdr:col>
      <xdr:colOff>355039</xdr:colOff>
      <xdr:row>54</xdr:row>
      <xdr:rowOff>135164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448459</xdr:colOff>
      <xdr:row>27</xdr:row>
      <xdr:rowOff>113145</xdr:rowOff>
    </xdr:from>
    <xdr:to>
      <xdr:col>20</xdr:col>
      <xdr:colOff>547519</xdr:colOff>
      <xdr:row>54</xdr:row>
      <xdr:rowOff>132195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442686</xdr:colOff>
      <xdr:row>0</xdr:row>
      <xdr:rowOff>166914</xdr:rowOff>
    </xdr:from>
    <xdr:to>
      <xdr:col>20</xdr:col>
      <xdr:colOff>541746</xdr:colOff>
      <xdr:row>27</xdr:row>
      <xdr:rowOff>29935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13853</xdr:colOff>
      <xdr:row>0</xdr:row>
      <xdr:rowOff>155864</xdr:rowOff>
    </xdr:from>
    <xdr:to>
      <xdr:col>33</xdr:col>
      <xdr:colOff>112913</xdr:colOff>
      <xdr:row>27</xdr:row>
      <xdr:rowOff>174914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520700</xdr:colOff>
      <xdr:row>0</xdr:row>
      <xdr:rowOff>139700</xdr:rowOff>
    </xdr:from>
    <xdr:to>
      <xdr:col>44</xdr:col>
      <xdr:colOff>10160</xdr:colOff>
      <xdr:row>27</xdr:row>
      <xdr:rowOff>158750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304800</xdr:colOff>
      <xdr:row>28</xdr:row>
      <xdr:rowOff>63500</xdr:rowOff>
    </xdr:from>
    <xdr:to>
      <xdr:col>38</xdr:col>
      <xdr:colOff>403860</xdr:colOff>
      <xdr:row>55</xdr:row>
      <xdr:rowOff>82550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601133</xdr:colOff>
      <xdr:row>14</xdr:row>
      <xdr:rowOff>25400</xdr:rowOff>
    </xdr:from>
    <xdr:to>
      <xdr:col>4</xdr:col>
      <xdr:colOff>601133</xdr:colOff>
      <xdr:row>21</xdr:row>
      <xdr:rowOff>42333</xdr:rowOff>
    </xdr:to>
    <xdr:cxnSp macro="">
      <xdr:nvCxnSpPr>
        <xdr:cNvPr id="10" name="Connettore 1 9"/>
        <xdr:cNvCxnSpPr/>
      </xdr:nvCxnSpPr>
      <xdr:spPr>
        <a:xfrm flipV="1">
          <a:off x="3039533" y="2633133"/>
          <a:ext cx="0" cy="1320800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93133</xdr:colOff>
      <xdr:row>15</xdr:row>
      <xdr:rowOff>89958</xdr:rowOff>
    </xdr:from>
    <xdr:to>
      <xdr:col>5</xdr:col>
      <xdr:colOff>8467</xdr:colOff>
      <xdr:row>15</xdr:row>
      <xdr:rowOff>89958</xdr:rowOff>
    </xdr:to>
    <xdr:cxnSp macro="">
      <xdr:nvCxnSpPr>
        <xdr:cNvPr id="11" name="Connettore 1 10"/>
        <xdr:cNvCxnSpPr/>
      </xdr:nvCxnSpPr>
      <xdr:spPr>
        <a:xfrm>
          <a:off x="1312333" y="2804583"/>
          <a:ext cx="1744134" cy="0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93133</xdr:colOff>
      <xdr:row>14</xdr:row>
      <xdr:rowOff>33866</xdr:rowOff>
    </xdr:from>
    <xdr:to>
      <xdr:col>5</xdr:col>
      <xdr:colOff>8467</xdr:colOff>
      <xdr:row>14</xdr:row>
      <xdr:rowOff>33866</xdr:rowOff>
    </xdr:to>
    <xdr:cxnSp macro="">
      <xdr:nvCxnSpPr>
        <xdr:cNvPr id="13" name="Connettore 1 12"/>
        <xdr:cNvCxnSpPr/>
      </xdr:nvCxnSpPr>
      <xdr:spPr>
        <a:xfrm>
          <a:off x="1312333" y="2641599"/>
          <a:ext cx="1744134" cy="0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0.44932</cdr:x>
      <cdr:y>0.48524</cdr:y>
    </cdr:from>
    <cdr:to>
      <cdr:x>0.45069</cdr:x>
      <cdr:y>0.77188</cdr:y>
    </cdr:to>
    <cdr:cxnSp macro="">
      <cdr:nvCxnSpPr>
        <cdr:cNvPr id="2" name="Connettore 1 1"/>
        <cdr:cNvCxnSpPr/>
      </cdr:nvCxnSpPr>
      <cdr:spPr>
        <a:xfrm xmlns:a="http://schemas.openxmlformats.org/drawingml/2006/main" flipH="1" flipV="1">
          <a:off x="2783555" y="2382192"/>
          <a:ext cx="8466" cy="140723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0.1722</cdr:x>
      <cdr:y>0.55884</cdr:y>
    </cdr:from>
    <cdr:to>
      <cdr:x>0.45374</cdr:x>
      <cdr:y>0.55884</cdr:y>
    </cdr:to>
    <cdr:cxnSp macro="">
      <cdr:nvCxnSpPr>
        <cdr:cNvPr id="4" name="Connettore 1 3"/>
        <cdr:cNvCxnSpPr/>
      </cdr:nvCxnSpPr>
      <cdr:spPr>
        <a:xfrm xmlns:a="http://schemas.openxmlformats.org/drawingml/2006/main">
          <a:off x="1066800" y="2743510"/>
          <a:ext cx="1744134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0.1722</cdr:x>
      <cdr:y>0.48286</cdr:y>
    </cdr:from>
    <cdr:to>
      <cdr:x>0.45374</cdr:x>
      <cdr:y>0.48286</cdr:y>
    </cdr:to>
    <cdr:cxnSp macro="">
      <cdr:nvCxnSpPr>
        <cdr:cNvPr id="5" name="Connettore 1 4"/>
        <cdr:cNvCxnSpPr/>
      </cdr:nvCxnSpPr>
      <cdr:spPr>
        <a:xfrm xmlns:a="http://schemas.openxmlformats.org/drawingml/2006/main">
          <a:off x="1066800" y="2429933"/>
          <a:ext cx="1744134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0.44931</cdr:x>
      <cdr:y>0.48878</cdr:y>
    </cdr:from>
    <cdr:to>
      <cdr:x>0.45067</cdr:x>
      <cdr:y>0.77451</cdr:y>
    </cdr:to>
    <cdr:cxnSp macro="">
      <cdr:nvCxnSpPr>
        <cdr:cNvPr id="2" name="Connettore 1 1"/>
        <cdr:cNvCxnSpPr/>
      </cdr:nvCxnSpPr>
      <cdr:spPr>
        <a:xfrm xmlns:a="http://schemas.openxmlformats.org/drawingml/2006/main" flipH="1" flipV="1">
          <a:off x="2783489" y="2436648"/>
          <a:ext cx="8466" cy="1424438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0.17446</cdr:x>
      <cdr:y>0.50068</cdr:y>
    </cdr:from>
    <cdr:to>
      <cdr:x>0.44705</cdr:x>
      <cdr:y>0.501</cdr:y>
    </cdr:to>
    <cdr:cxnSp macro="">
      <cdr:nvCxnSpPr>
        <cdr:cNvPr id="3" name="Connettore 1 2"/>
        <cdr:cNvCxnSpPr/>
      </cdr:nvCxnSpPr>
      <cdr:spPr>
        <a:xfrm xmlns:a="http://schemas.openxmlformats.org/drawingml/2006/main" flipV="1">
          <a:off x="1080814" y="2465932"/>
          <a:ext cx="1688712" cy="1571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0.17192</cdr:x>
      <cdr:y>0.56952</cdr:y>
    </cdr:from>
    <cdr:to>
      <cdr:x>0.45346</cdr:x>
      <cdr:y>0.56952</cdr:y>
    </cdr:to>
    <cdr:cxnSp macro="">
      <cdr:nvCxnSpPr>
        <cdr:cNvPr id="4" name="Connettore 1 3"/>
        <cdr:cNvCxnSpPr/>
      </cdr:nvCxnSpPr>
      <cdr:spPr>
        <a:xfrm xmlns:a="http://schemas.openxmlformats.org/drawingml/2006/main">
          <a:off x="1065049" y="2839166"/>
          <a:ext cx="1744134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0.45024</cdr:x>
      <cdr:y>0.51716</cdr:y>
    </cdr:from>
    <cdr:to>
      <cdr:x>0.45024</cdr:x>
      <cdr:y>0.76963</cdr:y>
    </cdr:to>
    <cdr:cxnSp macro="">
      <cdr:nvCxnSpPr>
        <cdr:cNvPr id="2" name="Connettore 1 1"/>
        <cdr:cNvCxnSpPr/>
      </cdr:nvCxnSpPr>
      <cdr:spPr>
        <a:xfrm xmlns:a="http://schemas.openxmlformats.org/drawingml/2006/main" flipV="1">
          <a:off x="2789245" y="2497460"/>
          <a:ext cx="0" cy="1219198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0.17362</cdr:x>
      <cdr:y>0.51501</cdr:y>
    </cdr:from>
    <cdr:to>
      <cdr:x>0.45515</cdr:x>
      <cdr:y>0.51501</cdr:y>
    </cdr:to>
    <cdr:cxnSp macro="">
      <cdr:nvCxnSpPr>
        <cdr:cNvPr id="7" name="Connettore 1 6"/>
        <cdr:cNvCxnSpPr/>
      </cdr:nvCxnSpPr>
      <cdr:spPr>
        <a:xfrm xmlns:a="http://schemas.openxmlformats.org/drawingml/2006/main">
          <a:off x="1075559" y="2487069"/>
          <a:ext cx="1744134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0.17192</cdr:x>
      <cdr:y>0.5803</cdr:y>
    </cdr:from>
    <cdr:to>
      <cdr:x>0.45346</cdr:x>
      <cdr:y>0.5803</cdr:y>
    </cdr:to>
    <cdr:cxnSp macro="">
      <cdr:nvCxnSpPr>
        <cdr:cNvPr id="8" name="Connettore 1 7"/>
        <cdr:cNvCxnSpPr/>
      </cdr:nvCxnSpPr>
      <cdr:spPr>
        <a:xfrm xmlns:a="http://schemas.openxmlformats.org/drawingml/2006/main">
          <a:off x="1065048" y="2802380"/>
          <a:ext cx="1744134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0.4702</cdr:x>
      <cdr:y>0.45788</cdr:y>
    </cdr:from>
    <cdr:to>
      <cdr:x>0.47052</cdr:x>
      <cdr:y>0.77561</cdr:y>
    </cdr:to>
    <cdr:cxnSp macro="">
      <cdr:nvCxnSpPr>
        <cdr:cNvPr id="2" name="Connettore 1 1"/>
        <cdr:cNvCxnSpPr/>
      </cdr:nvCxnSpPr>
      <cdr:spPr>
        <a:xfrm xmlns:a="http://schemas.openxmlformats.org/drawingml/2006/main" flipV="1">
          <a:off x="2912932" y="2302414"/>
          <a:ext cx="1945" cy="1597659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0.17531</cdr:x>
      <cdr:y>0.45906</cdr:y>
    </cdr:from>
    <cdr:to>
      <cdr:x>0.47315</cdr:x>
      <cdr:y>0.4592</cdr:y>
    </cdr:to>
    <cdr:cxnSp macro="">
      <cdr:nvCxnSpPr>
        <cdr:cNvPr id="4" name="Connettore 1 3"/>
        <cdr:cNvCxnSpPr/>
      </cdr:nvCxnSpPr>
      <cdr:spPr>
        <a:xfrm xmlns:a="http://schemas.openxmlformats.org/drawingml/2006/main" flipV="1">
          <a:off x="1086080" y="2308342"/>
          <a:ext cx="1845115" cy="701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0.17564</cdr:x>
      <cdr:y>0.56018</cdr:y>
    </cdr:from>
    <cdr:to>
      <cdr:x>0.46661</cdr:x>
      <cdr:y>0.56103</cdr:y>
    </cdr:to>
    <cdr:cxnSp macro="">
      <cdr:nvCxnSpPr>
        <cdr:cNvPr id="7" name="Connettore 1 6"/>
        <cdr:cNvCxnSpPr/>
      </cdr:nvCxnSpPr>
      <cdr:spPr>
        <a:xfrm xmlns:a="http://schemas.openxmlformats.org/drawingml/2006/main" flipV="1">
          <a:off x="1088116" y="2758988"/>
          <a:ext cx="1802585" cy="4194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0.46982</cdr:x>
      <cdr:y>0.45315</cdr:y>
    </cdr:from>
    <cdr:to>
      <cdr:x>0.47013</cdr:x>
      <cdr:y>0.77088</cdr:y>
    </cdr:to>
    <cdr:cxnSp macro="">
      <cdr:nvCxnSpPr>
        <cdr:cNvPr id="2" name="Connettore 1 1"/>
        <cdr:cNvCxnSpPr/>
      </cdr:nvCxnSpPr>
      <cdr:spPr>
        <a:xfrm xmlns:a="http://schemas.openxmlformats.org/drawingml/2006/main" flipV="1">
          <a:off x="2910541" y="2202329"/>
          <a:ext cx="1945" cy="1544159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0.17461</cdr:x>
      <cdr:y>0.54354</cdr:y>
    </cdr:from>
    <cdr:to>
      <cdr:x>0.46558</cdr:x>
      <cdr:y>0.54439</cdr:y>
    </cdr:to>
    <cdr:cxnSp macro="">
      <cdr:nvCxnSpPr>
        <cdr:cNvPr id="3" name="Connettore 1 2"/>
        <cdr:cNvCxnSpPr/>
      </cdr:nvCxnSpPr>
      <cdr:spPr>
        <a:xfrm xmlns:a="http://schemas.openxmlformats.org/drawingml/2006/main" flipV="1">
          <a:off x="1081741" y="2641600"/>
          <a:ext cx="1802585" cy="4138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0.17317</cdr:x>
      <cdr:y>0.45684</cdr:y>
    </cdr:from>
    <cdr:to>
      <cdr:x>0.46414</cdr:x>
      <cdr:y>0.4577</cdr:y>
    </cdr:to>
    <cdr:cxnSp macro="">
      <cdr:nvCxnSpPr>
        <cdr:cNvPr id="4" name="Connettore 1 3"/>
        <cdr:cNvCxnSpPr/>
      </cdr:nvCxnSpPr>
      <cdr:spPr>
        <a:xfrm xmlns:a="http://schemas.openxmlformats.org/drawingml/2006/main" flipV="1">
          <a:off x="1072777" y="2220259"/>
          <a:ext cx="1802585" cy="4138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0.46837</cdr:x>
      <cdr:y>0.51818</cdr:y>
    </cdr:from>
    <cdr:to>
      <cdr:x>0.46885</cdr:x>
      <cdr:y>0.76904</cdr:y>
    </cdr:to>
    <cdr:cxnSp macro="">
      <cdr:nvCxnSpPr>
        <cdr:cNvPr id="2" name="Connettore 1 1"/>
        <cdr:cNvCxnSpPr/>
      </cdr:nvCxnSpPr>
      <cdr:spPr>
        <a:xfrm xmlns:a="http://schemas.openxmlformats.org/drawingml/2006/main" flipV="1">
          <a:off x="2901576" y="2518336"/>
          <a:ext cx="2989" cy="1219189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0.17172</cdr:x>
      <cdr:y>0.51772</cdr:y>
    </cdr:from>
    <cdr:to>
      <cdr:x>0.46269</cdr:x>
      <cdr:y>0.51857</cdr:y>
    </cdr:to>
    <cdr:cxnSp macro="">
      <cdr:nvCxnSpPr>
        <cdr:cNvPr id="4" name="Connettore 1 3"/>
        <cdr:cNvCxnSpPr/>
      </cdr:nvCxnSpPr>
      <cdr:spPr>
        <a:xfrm xmlns:a="http://schemas.openxmlformats.org/drawingml/2006/main" flipV="1">
          <a:off x="1063812" y="2516095"/>
          <a:ext cx="1802585" cy="4138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0.17461</cdr:x>
      <cdr:y>0.56568</cdr:y>
    </cdr:from>
    <cdr:to>
      <cdr:x>0.46558</cdr:x>
      <cdr:y>0.56653</cdr:y>
    </cdr:to>
    <cdr:cxnSp macro="">
      <cdr:nvCxnSpPr>
        <cdr:cNvPr id="5" name="Connettore 1 4"/>
        <cdr:cNvCxnSpPr/>
      </cdr:nvCxnSpPr>
      <cdr:spPr>
        <a:xfrm xmlns:a="http://schemas.openxmlformats.org/drawingml/2006/main" flipV="1">
          <a:off x="1081741" y="2749177"/>
          <a:ext cx="1802585" cy="4138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zoomScale="70" zoomScaleNormal="70" workbookViewId="0">
      <selection activeCell="H23" sqref="H23"/>
    </sheetView>
  </sheetViews>
  <sheetFormatPr defaultRowHeight="14.4" x14ac:dyDescent="0.3"/>
  <cols>
    <col min="1" max="1" width="13.109375" customWidth="1"/>
    <col min="2" max="2" width="22.77734375" bestFit="1" customWidth="1"/>
    <col min="3" max="3" width="22.44140625" bestFit="1" customWidth="1"/>
    <col min="4" max="4" width="33.77734375" bestFit="1" customWidth="1"/>
    <col min="5" max="5" width="34.109375" bestFit="1" customWidth="1"/>
    <col min="6" max="6" width="24.6640625" bestFit="1" customWidth="1"/>
    <col min="7" max="7" width="19.77734375" bestFit="1" customWidth="1"/>
    <col min="8" max="8" width="32.77734375" bestFit="1" customWidth="1"/>
    <col min="9" max="9" width="28.33203125" bestFit="1" customWidth="1"/>
    <col min="10" max="10" width="28.88671875" bestFit="1" customWidth="1"/>
    <col min="11" max="11" width="30" bestFit="1" customWidth="1"/>
    <col min="12" max="12" width="32.77734375" bestFit="1" customWidth="1"/>
    <col min="13" max="13" width="15.6640625" bestFit="1" customWidth="1"/>
    <col min="14" max="14" width="10.21875" bestFit="1" customWidth="1"/>
    <col min="15" max="15" width="16.33203125" bestFit="1" customWidth="1"/>
    <col min="16" max="16" width="24.6640625" bestFit="1" customWidth="1"/>
    <col min="17" max="17" width="24.6640625" customWidth="1"/>
    <col min="18" max="18" width="24.6640625" bestFit="1" customWidth="1"/>
    <col min="19" max="19" width="15.6640625" bestFit="1" customWidth="1"/>
  </cols>
  <sheetData>
    <row r="1" spans="1:6" ht="14.4" customHeight="1" x14ac:dyDescent="0.3">
      <c r="A1" s="213" t="s">
        <v>0</v>
      </c>
      <c r="B1" s="214"/>
      <c r="C1" s="214"/>
      <c r="D1" s="214"/>
      <c r="E1" s="214"/>
      <c r="F1" s="215"/>
    </row>
    <row r="2" spans="1:6" ht="15" customHeight="1" thickBot="1" x14ac:dyDescent="0.35">
      <c r="A2" s="216"/>
      <c r="B2" s="217"/>
      <c r="C2" s="217"/>
      <c r="D2" s="217"/>
      <c r="E2" s="217"/>
      <c r="F2" s="218"/>
    </row>
    <row r="3" spans="1:6" ht="15" customHeight="1" thickBot="1" x14ac:dyDescent="0.35">
      <c r="A3" s="153" t="s">
        <v>5</v>
      </c>
      <c r="B3" s="154"/>
      <c r="C3" s="154"/>
      <c r="D3" s="154"/>
      <c r="E3" s="154"/>
      <c r="F3" s="155"/>
    </row>
    <row r="4" spans="1:6" x14ac:dyDescent="0.3">
      <c r="A4" s="66" t="s">
        <v>24</v>
      </c>
      <c r="B4" s="118">
        <v>340194</v>
      </c>
      <c r="C4" s="119"/>
      <c r="D4" s="119"/>
      <c r="E4" s="119"/>
      <c r="F4" s="120"/>
    </row>
    <row r="5" spans="1:6" x14ac:dyDescent="0.3">
      <c r="A5" s="66" t="s">
        <v>25</v>
      </c>
      <c r="B5" s="121">
        <v>267916</v>
      </c>
      <c r="C5" s="122"/>
      <c r="D5" s="122"/>
      <c r="E5" s="122"/>
      <c r="F5" s="123"/>
    </row>
    <row r="6" spans="1:6" x14ac:dyDescent="0.3">
      <c r="A6" s="66" t="s">
        <v>1</v>
      </c>
      <c r="B6" s="124">
        <v>511</v>
      </c>
      <c r="C6" s="125"/>
      <c r="D6" s="125"/>
      <c r="E6" s="125"/>
      <c r="F6" s="126"/>
    </row>
    <row r="7" spans="1:6" x14ac:dyDescent="0.3">
      <c r="A7" s="66" t="s">
        <v>14</v>
      </c>
      <c r="B7" s="127">
        <v>204000</v>
      </c>
      <c r="C7" s="128"/>
      <c r="D7" s="128"/>
      <c r="E7" s="128"/>
      <c r="F7" s="129"/>
    </row>
    <row r="8" spans="1:6" ht="15" thickBot="1" x14ac:dyDescent="0.35">
      <c r="A8" s="67" t="s">
        <v>11</v>
      </c>
      <c r="B8" s="130">
        <v>1</v>
      </c>
      <c r="C8" s="131"/>
      <c r="D8" s="131"/>
      <c r="E8" s="131"/>
      <c r="F8" s="132"/>
    </row>
    <row r="9" spans="1:6" x14ac:dyDescent="0.3">
      <c r="A9" s="68" t="s">
        <v>10</v>
      </c>
      <c r="B9" s="133">
        <v>1.91608945632212</v>
      </c>
      <c r="C9" s="134"/>
      <c r="D9" s="134"/>
      <c r="E9" s="134"/>
      <c r="F9" s="135"/>
    </row>
    <row r="10" spans="1:6" x14ac:dyDescent="0.3">
      <c r="A10" s="67" t="s">
        <v>33</v>
      </c>
      <c r="B10" s="136">
        <v>10</v>
      </c>
      <c r="C10" s="136"/>
      <c r="D10" s="136"/>
      <c r="E10" s="136"/>
      <c r="F10" s="137"/>
    </row>
    <row r="11" spans="1:6" ht="15" thickBot="1" x14ac:dyDescent="0.35">
      <c r="A11" s="69" t="s">
        <v>36</v>
      </c>
      <c r="B11" s="112">
        <v>10</v>
      </c>
      <c r="C11" s="112"/>
      <c r="D11" s="112"/>
      <c r="E11" s="112"/>
      <c r="F11" s="113"/>
    </row>
    <row r="12" spans="1:6" x14ac:dyDescent="0.3">
      <c r="A12" s="66" t="s">
        <v>26</v>
      </c>
      <c r="B12" s="160">
        <v>2.67</v>
      </c>
      <c r="C12" s="161"/>
      <c r="D12" s="162"/>
      <c r="E12" s="72">
        <v>2.5529209817737399</v>
      </c>
      <c r="F12" s="72">
        <v>2.4369191983796101</v>
      </c>
    </row>
    <row r="13" spans="1:6" x14ac:dyDescent="0.3">
      <c r="A13" s="67" t="s">
        <v>35</v>
      </c>
      <c r="B13" s="165">
        <v>30</v>
      </c>
      <c r="C13" s="166"/>
      <c r="D13" s="167"/>
      <c r="E13" s="70">
        <v>30</v>
      </c>
      <c r="F13" s="70">
        <v>25</v>
      </c>
    </row>
    <row r="14" spans="1:6" ht="15" thickBot="1" x14ac:dyDescent="0.35">
      <c r="A14" s="69" t="s">
        <v>36</v>
      </c>
      <c r="B14" s="168">
        <v>20</v>
      </c>
      <c r="C14" s="169"/>
      <c r="D14" s="170"/>
      <c r="E14" s="71">
        <v>15</v>
      </c>
      <c r="F14" s="71">
        <v>15</v>
      </c>
    </row>
    <row r="15" spans="1:6" x14ac:dyDescent="0.3">
      <c r="A15" s="67" t="s">
        <v>34</v>
      </c>
      <c r="B15" s="138">
        <v>3</v>
      </c>
      <c r="C15" s="139"/>
      <c r="D15" s="139"/>
      <c r="E15" s="139"/>
      <c r="F15" s="140"/>
    </row>
    <row r="16" spans="1:6" x14ac:dyDescent="0.3">
      <c r="A16" s="67" t="s">
        <v>27</v>
      </c>
      <c r="B16" s="130">
        <v>0.03</v>
      </c>
      <c r="C16" s="131"/>
      <c r="D16" s="131"/>
      <c r="E16" s="131"/>
      <c r="F16" s="132"/>
    </row>
    <row r="17" spans="1:19" ht="15" thickBot="1" x14ac:dyDescent="0.35">
      <c r="A17" s="69" t="s">
        <v>28</v>
      </c>
      <c r="B17" s="141">
        <v>0.4</v>
      </c>
      <c r="C17" s="142"/>
      <c r="D17" s="142"/>
      <c r="E17" s="142"/>
      <c r="F17" s="143"/>
    </row>
    <row r="18" spans="1:19" x14ac:dyDescent="0.3">
      <c r="A18" s="8" t="s">
        <v>29</v>
      </c>
      <c r="B18" s="144">
        <f>B4/B6</f>
        <v>665.74168297455969</v>
      </c>
      <c r="C18" s="145"/>
      <c r="D18" s="146"/>
      <c r="E18" s="156">
        <f>B18*0.204817</f>
        <v>136.35521428180039</v>
      </c>
      <c r="F18" s="157"/>
    </row>
    <row r="19" spans="1:19" x14ac:dyDescent="0.3">
      <c r="A19" s="8" t="s">
        <v>30</v>
      </c>
      <c r="B19" s="147">
        <f>B5/B6</f>
        <v>524.29745596868884</v>
      </c>
      <c r="C19" s="148"/>
      <c r="D19" s="149"/>
      <c r="E19" s="163">
        <f>B19*0.204817</f>
        <v>107.38503203913893</v>
      </c>
      <c r="F19" s="164"/>
    </row>
    <row r="20" spans="1:19" ht="15" thickBot="1" x14ac:dyDescent="0.35">
      <c r="A20" s="1" t="s">
        <v>4</v>
      </c>
      <c r="B20" s="150">
        <f>(B7)/B4</f>
        <v>0.59965784228998753</v>
      </c>
      <c r="C20" s="151"/>
      <c r="D20" s="152"/>
      <c r="E20" s="158">
        <f>B7/(B4*2.20462)</f>
        <v>0.2720005453502134</v>
      </c>
      <c r="F20" s="159"/>
    </row>
    <row r="21" spans="1:19" ht="16.2" thickBot="1" x14ac:dyDescent="0.35">
      <c r="A21" s="153" t="s">
        <v>32</v>
      </c>
      <c r="B21" s="154"/>
      <c r="C21" s="154"/>
      <c r="D21" s="155"/>
      <c r="E21" s="153" t="s">
        <v>31</v>
      </c>
      <c r="F21" s="155"/>
      <c r="G21" s="39"/>
      <c r="H21" s="39"/>
    </row>
    <row r="22" spans="1:19" ht="15" thickBot="1" x14ac:dyDescent="0.35">
      <c r="A22" s="7" t="s">
        <v>3</v>
      </c>
      <c r="B22" s="7" t="s">
        <v>1</v>
      </c>
      <c r="C22" s="7" t="s">
        <v>4</v>
      </c>
      <c r="D22" s="7" t="s">
        <v>2</v>
      </c>
      <c r="E22" s="7" t="s">
        <v>3</v>
      </c>
      <c r="F22" s="7" t="s">
        <v>1</v>
      </c>
    </row>
    <row r="23" spans="1:19" ht="15" thickBot="1" x14ac:dyDescent="0.35">
      <c r="A23" s="3">
        <f>E$18-0.1*E$18</f>
        <v>122.71969285362034</v>
      </c>
      <c r="B23" s="2">
        <f>B$4/(A23/0.204817)</f>
        <v>567.77777777777783</v>
      </c>
      <c r="C23" s="4">
        <f>E$20-0.1*E$20</f>
        <v>0.24480049081519206</v>
      </c>
      <c r="D23" s="5">
        <f>C23*(B$4*2.20462)</f>
        <v>183600</v>
      </c>
      <c r="E23" s="3">
        <f>E$24-0.1*E$24</f>
        <v>96.3</v>
      </c>
      <c r="F23" s="2">
        <f>B$5/(E23/0.204817)</f>
        <v>569.82088652128766</v>
      </c>
    </row>
    <row r="24" spans="1:19" ht="15" thickBot="1" x14ac:dyDescent="0.35">
      <c r="A24" s="3">
        <f>E$18</f>
        <v>136.35521428180039</v>
      </c>
      <c r="B24" s="2">
        <f>B$4/(A24/0.204817)</f>
        <v>511</v>
      </c>
      <c r="C24" s="4">
        <f>E$20-0*E$20</f>
        <v>0.2720005453502134</v>
      </c>
      <c r="D24" s="5">
        <f>C24*(B$4*2.20462)</f>
        <v>203999.99999999997</v>
      </c>
      <c r="E24" s="3">
        <f>107</f>
        <v>107</v>
      </c>
      <c r="F24" s="2">
        <f>B$5/(E24/0.204817)</f>
        <v>512.83879786915884</v>
      </c>
      <c r="K24" s="33"/>
      <c r="L24" s="33"/>
      <c r="M24" s="33"/>
    </row>
    <row r="25" spans="1:19" ht="15" thickBot="1" x14ac:dyDescent="0.35">
      <c r="A25" s="3">
        <f>E$18+0.1*E$18</f>
        <v>149.99073570998041</v>
      </c>
      <c r="B25" s="2">
        <f>B$4/(A25/0.204817)</f>
        <v>464.54545454545456</v>
      </c>
      <c r="C25" s="4">
        <f>E$20+0.1*E$20</f>
        <v>0.29920059988523473</v>
      </c>
      <c r="D25" s="5">
        <f>C25*(B$4*2.20462)</f>
        <v>224399.99999999997</v>
      </c>
      <c r="E25" s="3">
        <f>E$24+0.1*E$24</f>
        <v>117.7</v>
      </c>
      <c r="F25" s="2">
        <f>B$5/(E25/0.204817)</f>
        <v>466.21708897196265</v>
      </c>
    </row>
    <row r="26" spans="1:19" ht="15" thickBot="1" x14ac:dyDescent="0.35">
      <c r="A26" s="3">
        <f>E$18+0.2*E$18</f>
        <v>163.62625713816047</v>
      </c>
      <c r="B26" s="2">
        <f>B$4/(A26/0.204817)</f>
        <v>425.83333333333331</v>
      </c>
      <c r="C26" s="4">
        <f>E$20+0.2*E$20</f>
        <v>0.32640065442025606</v>
      </c>
      <c r="D26" s="5">
        <f>C26*(B$4*2.20462)</f>
        <v>244799.99999999997</v>
      </c>
      <c r="E26" s="3">
        <f>E$24+0.2*E$24</f>
        <v>128.4</v>
      </c>
      <c r="F26" s="2">
        <f>B$5/(E26/0.204817)</f>
        <v>427.36566489096572</v>
      </c>
    </row>
    <row r="28" spans="1:19" ht="15" thickBot="1" x14ac:dyDescent="0.35"/>
    <row r="29" spans="1:19" ht="29.4" thickBot="1" x14ac:dyDescent="0.35">
      <c r="A29" s="204" t="s">
        <v>6</v>
      </c>
      <c r="B29" s="205"/>
      <c r="C29" s="205"/>
      <c r="D29" s="205"/>
      <c r="E29" s="205"/>
      <c r="F29" s="205"/>
      <c r="G29" s="205"/>
      <c r="H29" s="205"/>
      <c r="I29" s="206"/>
      <c r="S29" s="26"/>
    </row>
    <row r="30" spans="1:19" ht="15" thickBot="1" x14ac:dyDescent="0.35">
      <c r="A30" s="7" t="s">
        <v>3</v>
      </c>
      <c r="B30" s="7" t="s">
        <v>4</v>
      </c>
      <c r="C30" s="7" t="s">
        <v>7</v>
      </c>
      <c r="D30" s="7" t="s">
        <v>8</v>
      </c>
      <c r="E30" s="9" t="s">
        <v>9</v>
      </c>
      <c r="F30" s="9" t="s">
        <v>12</v>
      </c>
      <c r="G30" s="7" t="s">
        <v>13</v>
      </c>
      <c r="H30" s="73" t="s">
        <v>39</v>
      </c>
      <c r="I30" s="73" t="s">
        <v>13</v>
      </c>
      <c r="K30" s="34"/>
      <c r="L30" s="35"/>
      <c r="M30" s="34"/>
    </row>
    <row r="31" spans="1:19" ht="14.4" customHeight="1" x14ac:dyDescent="0.3">
      <c r="A31" s="15">
        <f>$E$18-0.1*$E$18</f>
        <v>122.71969285362034</v>
      </c>
      <c r="B31" s="22">
        <f>$C$23</f>
        <v>0.24480049081519206</v>
      </c>
      <c r="C31" s="12">
        <v>2476.42185314262</v>
      </c>
      <c r="D31" s="105">
        <f t="shared" ref="D31:D46" si="0">$C31*1.15</f>
        <v>2847.8851311140129</v>
      </c>
      <c r="E31" s="24">
        <f t="shared" ref="E31:E46" si="1">$A31/($B$8*$B$9*$B31)</f>
        <v>261.629188609729</v>
      </c>
      <c r="F31" s="105">
        <f t="shared" ref="F31:F46" si="2">$E31*37.5*0.3048</f>
        <v>2990.4216258092024</v>
      </c>
      <c r="G31" s="189">
        <f t="shared" ref="G31:G46" si="3">ABS(($F31-$D31)/$F31)</f>
        <v>4.7664347216128562E-2</v>
      </c>
      <c r="H31" s="114">
        <v>3080</v>
      </c>
      <c r="I31" s="116">
        <f>ABS((H31-D36)/H31)</f>
        <v>7.8681983478979312E-2</v>
      </c>
      <c r="J31" s="6"/>
    </row>
    <row r="32" spans="1:19" ht="14.4" customHeight="1" x14ac:dyDescent="0.3">
      <c r="A32" s="15">
        <f>$E$18</f>
        <v>136.35521428180039</v>
      </c>
      <c r="B32" s="22">
        <f>$C$23</f>
        <v>0.24480049081519206</v>
      </c>
      <c r="C32" s="12">
        <v>2758.1859489121598</v>
      </c>
      <c r="D32" s="105">
        <f t="shared" si="0"/>
        <v>3171.9138412489833</v>
      </c>
      <c r="E32" s="24">
        <f t="shared" si="1"/>
        <v>290.69909845525444</v>
      </c>
      <c r="F32" s="105">
        <f t="shared" si="2"/>
        <v>3322.6906953435582</v>
      </c>
      <c r="G32" s="189">
        <f t="shared" si="3"/>
        <v>4.537793852008995E-2</v>
      </c>
      <c r="H32" s="114"/>
      <c r="I32" s="116"/>
    </row>
    <row r="33" spans="1:19" ht="14.4" customHeight="1" x14ac:dyDescent="0.3">
      <c r="A33" s="15">
        <f>$E$18+0.1*$E$18</f>
        <v>149.99073570998041</v>
      </c>
      <c r="B33" s="22">
        <f>$C$23</f>
        <v>0.24480049081519206</v>
      </c>
      <c r="C33" s="12">
        <v>3039.9453339638399</v>
      </c>
      <c r="D33" s="105">
        <f t="shared" si="0"/>
        <v>3495.9371340584157</v>
      </c>
      <c r="E33" s="24">
        <f t="shared" si="1"/>
        <v>319.76900830077989</v>
      </c>
      <c r="F33" s="105">
        <f t="shared" si="2"/>
        <v>3654.959764877914</v>
      </c>
      <c r="G33" s="189">
        <f t="shared" si="3"/>
        <v>4.3508722680784456E-2</v>
      </c>
      <c r="H33" s="114"/>
      <c r="I33" s="116"/>
    </row>
    <row r="34" spans="1:19" ht="15" customHeight="1" thickBot="1" x14ac:dyDescent="0.35">
      <c r="A34" s="16">
        <f>$E$18+0.2*$E$18</f>
        <v>163.62625713816047</v>
      </c>
      <c r="B34" s="23">
        <f>$C$23</f>
        <v>0.24480049081519206</v>
      </c>
      <c r="C34" s="13">
        <v>3329.18061077738</v>
      </c>
      <c r="D34" s="106">
        <f t="shared" si="0"/>
        <v>3828.5577023939868</v>
      </c>
      <c r="E34" s="25">
        <f t="shared" si="1"/>
        <v>348.83891814630539</v>
      </c>
      <c r="F34" s="106">
        <f t="shared" si="2"/>
        <v>3987.2288344122708</v>
      </c>
      <c r="G34" s="190">
        <f t="shared" si="3"/>
        <v>3.9794839626171731E-2</v>
      </c>
      <c r="H34" s="114"/>
      <c r="I34" s="116"/>
    </row>
    <row r="35" spans="1:19" ht="15" customHeight="1" thickBot="1" x14ac:dyDescent="0.35">
      <c r="A35" s="17">
        <f>$E$18-0.1*$E$18</f>
        <v>122.71969285362034</v>
      </c>
      <c r="B35" s="10">
        <f>$C$24</f>
        <v>0.2720005453502134</v>
      </c>
      <c r="C35" s="12">
        <f xml:space="preserve"> 2219.45440996758</f>
        <v>2219.45440996758</v>
      </c>
      <c r="D35" s="105">
        <f t="shared" si="0"/>
        <v>2552.3725714627167</v>
      </c>
      <c r="E35" s="24">
        <f t="shared" si="1"/>
        <v>235.4662697487561</v>
      </c>
      <c r="F35" s="109">
        <f t="shared" si="2"/>
        <v>2691.3794632282825</v>
      </c>
      <c r="G35" s="189">
        <f t="shared" si="3"/>
        <v>5.1648938273025399E-2</v>
      </c>
      <c r="H35" s="114"/>
      <c r="I35" s="116"/>
    </row>
    <row r="36" spans="1:19" ht="15.6" customHeight="1" thickTop="1" thickBot="1" x14ac:dyDescent="0.35">
      <c r="A36" s="74">
        <f>$E$18</f>
        <v>136.35521428180039</v>
      </c>
      <c r="B36" s="75">
        <f>$C$24</f>
        <v>0.2720005453502134</v>
      </c>
      <c r="C36" s="65">
        <v>2467.5299920736902</v>
      </c>
      <c r="D36" s="96">
        <f t="shared" si="0"/>
        <v>2837.6594908847437</v>
      </c>
      <c r="E36" s="76">
        <f t="shared" si="1"/>
        <v>261.629188609729</v>
      </c>
      <c r="F36" s="105">
        <f t="shared" si="2"/>
        <v>2990.4216258092024</v>
      </c>
      <c r="G36" s="191">
        <f t="shared" si="3"/>
        <v>5.1083811595671408E-2</v>
      </c>
      <c r="H36" s="114"/>
      <c r="I36" s="116"/>
      <c r="K36" s="33"/>
      <c r="S36" s="11"/>
    </row>
    <row r="37" spans="1:19" ht="15" customHeight="1" thickTop="1" x14ac:dyDescent="0.3">
      <c r="A37" s="15">
        <f>$E$18+0.1*$E$18</f>
        <v>149.99073570998041</v>
      </c>
      <c r="B37" s="22">
        <f>$C$24</f>
        <v>0.2720005453502134</v>
      </c>
      <c r="C37" s="18">
        <v>2714.8947383990899</v>
      </c>
      <c r="D37" s="96">
        <f t="shared" si="0"/>
        <v>3122.1289491589532</v>
      </c>
      <c r="E37" s="14">
        <f t="shared" si="1"/>
        <v>287.79210747070186</v>
      </c>
      <c r="F37" s="110">
        <f t="shared" si="2"/>
        <v>3289.4637883901228</v>
      </c>
      <c r="G37" s="189">
        <f t="shared" si="3"/>
        <v>5.0869944159824272E-2</v>
      </c>
      <c r="H37" s="114"/>
      <c r="I37" s="116"/>
    </row>
    <row r="38" spans="1:19" ht="15" customHeight="1" thickBot="1" x14ac:dyDescent="0.35">
      <c r="A38" s="16">
        <f>$E$18+0.2*$E$18</f>
        <v>163.62625713816047</v>
      </c>
      <c r="B38" s="23">
        <f>$C$24</f>
        <v>0.2720005453502134</v>
      </c>
      <c r="C38" s="13">
        <v>2968.4806556440899</v>
      </c>
      <c r="D38" s="106">
        <f t="shared" si="0"/>
        <v>3413.7527539907032</v>
      </c>
      <c r="E38" s="25">
        <f t="shared" si="1"/>
        <v>313.95502633167484</v>
      </c>
      <c r="F38" s="106">
        <f t="shared" si="2"/>
        <v>3588.5059509710436</v>
      </c>
      <c r="G38" s="190">
        <f t="shared" si="3"/>
        <v>4.8698037391592577E-2</v>
      </c>
      <c r="H38" s="114"/>
      <c r="I38" s="116"/>
    </row>
    <row r="39" spans="1:19" ht="14.4" customHeight="1" x14ac:dyDescent="0.3">
      <c r="A39" s="15">
        <f>$E$18-0.1*$E$18</f>
        <v>122.71969285362034</v>
      </c>
      <c r="B39" s="22">
        <f>$C$25</f>
        <v>0.29920059988523473</v>
      </c>
      <c r="C39" s="19">
        <v>2003.9429296877699</v>
      </c>
      <c r="D39" s="105">
        <f t="shared" si="0"/>
        <v>2304.5343691409353</v>
      </c>
      <c r="E39" s="24">
        <f t="shared" si="1"/>
        <v>214.06024522614194</v>
      </c>
      <c r="F39" s="105">
        <f t="shared" si="2"/>
        <v>2446.7086029348025</v>
      </c>
      <c r="G39" s="189">
        <f t="shared" si="3"/>
        <v>5.8108363874361912E-2</v>
      </c>
      <c r="H39" s="114"/>
      <c r="I39" s="116"/>
    </row>
    <row r="40" spans="1:19" ht="14.4" customHeight="1" x14ac:dyDescent="0.3">
      <c r="A40" s="15">
        <f>$E$18</f>
        <v>136.35521428180039</v>
      </c>
      <c r="B40" s="22">
        <f>$C$25</f>
        <v>0.29920059988523473</v>
      </c>
      <c r="C40" s="19">
        <v>2226.9776311379301</v>
      </c>
      <c r="D40" s="105">
        <f t="shared" si="0"/>
        <v>2561.0242758086192</v>
      </c>
      <c r="E40" s="24">
        <f t="shared" si="1"/>
        <v>237.8447169179355</v>
      </c>
      <c r="F40" s="105">
        <f t="shared" si="2"/>
        <v>2718.5651143720029</v>
      </c>
      <c r="G40" s="189">
        <f t="shared" si="3"/>
        <v>5.7949996389833058E-2</v>
      </c>
      <c r="H40" s="114"/>
      <c r="I40" s="116"/>
    </row>
    <row r="41" spans="1:19" ht="14.4" customHeight="1" x14ac:dyDescent="0.3">
      <c r="A41" s="15">
        <f>$E$18+0.1*$E$18</f>
        <v>149.99073570998041</v>
      </c>
      <c r="B41" s="22">
        <f>$C$25</f>
        <v>0.29920059988523473</v>
      </c>
      <c r="C41" s="20">
        <v>2449.2690593410798</v>
      </c>
      <c r="D41" s="105">
        <f t="shared" si="0"/>
        <v>2816.6594182422414</v>
      </c>
      <c r="E41" s="24">
        <f t="shared" si="1"/>
        <v>261.62918860972906</v>
      </c>
      <c r="F41" s="105">
        <f t="shared" si="2"/>
        <v>2990.4216258092033</v>
      </c>
      <c r="G41" s="189">
        <f t="shared" si="3"/>
        <v>5.8106257013153507E-2</v>
      </c>
      <c r="H41" s="114"/>
      <c r="I41" s="116"/>
    </row>
    <row r="42" spans="1:19" ht="15" customHeight="1" thickBot="1" x14ac:dyDescent="0.35">
      <c r="A42" s="16">
        <f>$E$18+0.2*$E$18</f>
        <v>163.62625713816047</v>
      </c>
      <c r="B42" s="23">
        <f>$C$25</f>
        <v>0.29920059988523473</v>
      </c>
      <c r="C42" s="21">
        <v>2678.0245957747402</v>
      </c>
      <c r="D42" s="106">
        <f t="shared" si="0"/>
        <v>3079.7282851409509</v>
      </c>
      <c r="E42" s="25">
        <f t="shared" si="1"/>
        <v>285.41366030152261</v>
      </c>
      <c r="F42" s="106">
        <f t="shared" si="2"/>
        <v>3262.2781372464037</v>
      </c>
      <c r="G42" s="190">
        <f t="shared" si="3"/>
        <v>5.5957783004835379E-2</v>
      </c>
      <c r="H42" s="114"/>
      <c r="I42" s="116"/>
      <c r="J42" s="27"/>
    </row>
    <row r="43" spans="1:19" ht="14.4" customHeight="1" x14ac:dyDescent="0.3">
      <c r="A43" s="15">
        <f>$E$18-0.1*$E$18</f>
        <v>122.71969285362034</v>
      </c>
      <c r="B43" s="22">
        <f>$C$26</f>
        <v>0.32640065442025606</v>
      </c>
      <c r="C43" s="19">
        <v>1841.5536832764899</v>
      </c>
      <c r="D43" s="105">
        <f t="shared" si="0"/>
        <v>2117.7867357679634</v>
      </c>
      <c r="E43" s="24">
        <f t="shared" si="1"/>
        <v>196.22189145729678</v>
      </c>
      <c r="F43" s="105">
        <f t="shared" si="2"/>
        <v>2242.8162193569024</v>
      </c>
      <c r="G43" s="189">
        <f t="shared" si="3"/>
        <v>5.5746646787131551E-2</v>
      </c>
      <c r="H43" s="114"/>
      <c r="I43" s="116"/>
    </row>
    <row r="44" spans="1:19" ht="14.4" customHeight="1" x14ac:dyDescent="0.3">
      <c r="A44" s="15">
        <f>$E$18</f>
        <v>136.35521428180039</v>
      </c>
      <c r="B44" s="22">
        <f>$C$26</f>
        <v>0.32640065442025606</v>
      </c>
      <c r="C44" s="19">
        <v>2042.9840875796399</v>
      </c>
      <c r="D44" s="105">
        <f t="shared" si="0"/>
        <v>2349.4317007165855</v>
      </c>
      <c r="E44" s="24">
        <f t="shared" si="1"/>
        <v>218.02432384144086</v>
      </c>
      <c r="F44" s="105">
        <f t="shared" si="2"/>
        <v>2492.0180215076689</v>
      </c>
      <c r="G44" s="189">
        <f t="shared" si="3"/>
        <v>5.7217210935263933E-2</v>
      </c>
      <c r="H44" s="114"/>
      <c r="I44" s="116"/>
    </row>
    <row r="45" spans="1:19" ht="14.4" customHeight="1" x14ac:dyDescent="0.3">
      <c r="A45" s="15">
        <f>$E$18+0.1*$E$18</f>
        <v>149.99073570998041</v>
      </c>
      <c r="B45" s="22">
        <f>$C$26</f>
        <v>0.32640065442025606</v>
      </c>
      <c r="C45" s="19">
        <v>2243.7619984157</v>
      </c>
      <c r="D45" s="105">
        <f t="shared" si="0"/>
        <v>2580.3262981780549</v>
      </c>
      <c r="E45" s="24">
        <f t="shared" si="1"/>
        <v>239.82675622558494</v>
      </c>
      <c r="F45" s="105">
        <f t="shared" si="2"/>
        <v>2741.2198236584359</v>
      </c>
      <c r="G45" s="189">
        <f t="shared" si="3"/>
        <v>5.8694134666534052E-2</v>
      </c>
      <c r="H45" s="114"/>
      <c r="I45" s="116"/>
    </row>
    <row r="46" spans="1:19" ht="15" customHeight="1" thickBot="1" x14ac:dyDescent="0.35">
      <c r="A46" s="16">
        <f>$E$18+0.2*$E$18</f>
        <v>163.62625713816047</v>
      </c>
      <c r="B46" s="23">
        <f>$C$26</f>
        <v>0.32640065442025606</v>
      </c>
      <c r="C46" s="21">
        <v>2450.2753222209199</v>
      </c>
      <c r="D46" s="106">
        <f t="shared" si="0"/>
        <v>2817.8166205540574</v>
      </c>
      <c r="E46" s="25">
        <f t="shared" si="1"/>
        <v>261.62918860972906</v>
      </c>
      <c r="F46" s="106">
        <f t="shared" si="2"/>
        <v>2990.4216258092033</v>
      </c>
      <c r="G46" s="190">
        <f t="shared" si="3"/>
        <v>5.7719287395950149E-2</v>
      </c>
      <c r="H46" s="115"/>
      <c r="I46" s="117"/>
    </row>
    <row r="47" spans="1:19" ht="15" thickTop="1" x14ac:dyDescent="0.3">
      <c r="D47" s="111"/>
      <c r="H47" s="51"/>
      <c r="I47" s="50"/>
    </row>
    <row r="48" spans="1:19" ht="15" thickBot="1" x14ac:dyDescent="0.35"/>
    <row r="49" spans="1:14" ht="29.4" thickBot="1" x14ac:dyDescent="0.35">
      <c r="A49" s="207" t="s">
        <v>40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9"/>
    </row>
    <row r="50" spans="1:14" ht="15" thickBot="1" x14ac:dyDescent="0.35">
      <c r="A50" s="7" t="s">
        <v>3</v>
      </c>
      <c r="B50" s="28" t="s">
        <v>17</v>
      </c>
      <c r="C50" s="28" t="s">
        <v>18</v>
      </c>
      <c r="D50" s="49" t="s">
        <v>22</v>
      </c>
      <c r="E50" s="49" t="s">
        <v>23</v>
      </c>
      <c r="F50" s="9" t="s">
        <v>15</v>
      </c>
      <c r="G50" s="7" t="s">
        <v>16</v>
      </c>
      <c r="H50" s="7" t="s">
        <v>21</v>
      </c>
      <c r="I50" s="9" t="s">
        <v>19</v>
      </c>
      <c r="J50" s="48" t="s">
        <v>20</v>
      </c>
      <c r="K50" s="49" t="s">
        <v>13</v>
      </c>
      <c r="L50" s="48" t="s">
        <v>39</v>
      </c>
      <c r="M50" s="49" t="s">
        <v>13</v>
      </c>
    </row>
    <row r="51" spans="1:14" ht="16.8" thickTop="1" thickBot="1" x14ac:dyDescent="0.35">
      <c r="A51" s="52">
        <f>A$52-0.1*A$52</f>
        <v>96.3</v>
      </c>
      <c r="B51" s="41">
        <v>1086.06438838793</v>
      </c>
      <c r="C51" s="63">
        <f>B51*3.28084</f>
        <v>3563.2034879986563</v>
      </c>
      <c r="D51" s="91">
        <f>C51/0.6</f>
        <v>5938.672479997761</v>
      </c>
      <c r="E51" s="92">
        <f>D51*0.3048</f>
        <v>1810.1073719033177</v>
      </c>
      <c r="F51" s="88">
        <v>69.009178044124994</v>
      </c>
      <c r="G51" s="59">
        <f>F51*1.94384</f>
        <v>134.14280064929193</v>
      </c>
      <c r="H51" s="46">
        <f>G51^2</f>
        <v>17994.290966035675</v>
      </c>
      <c r="I51" s="103">
        <f>0.3*H51</f>
        <v>5398.2872898107025</v>
      </c>
      <c r="J51" s="92">
        <f>I51*0.3048</f>
        <v>1645.3979659343022</v>
      </c>
      <c r="K51" s="192">
        <f>ABS((J51-E51)/J51)</f>
        <v>0.10010308106555181</v>
      </c>
      <c r="L51" s="196">
        <v>1930</v>
      </c>
      <c r="M51" s="200">
        <f>ABS((L51-E52)/L51)</f>
        <v>5.2709055511635065E-3</v>
      </c>
      <c r="N51" s="11"/>
    </row>
    <row r="52" spans="1:14" ht="16.8" thickTop="1" thickBot="1" x14ac:dyDescent="0.35">
      <c r="A52" s="47">
        <f>107</f>
        <v>107</v>
      </c>
      <c r="B52" s="84">
        <v>1164.1036713769299</v>
      </c>
      <c r="C52" s="77">
        <f>B52*3.28084</f>
        <v>3819.2378892002866</v>
      </c>
      <c r="D52" s="93">
        <f>C52/0.6</f>
        <v>6365.3964820004776</v>
      </c>
      <c r="E52" s="94">
        <f>D52*0.3048</f>
        <v>1940.1728477137456</v>
      </c>
      <c r="F52" s="78">
        <v>72.7420606918392</v>
      </c>
      <c r="G52" s="79">
        <f>F52*1.94384</f>
        <v>141.39892725522472</v>
      </c>
      <c r="H52" s="80">
        <f>G52^2</f>
        <v>19993.656628928333</v>
      </c>
      <c r="I52" s="104">
        <f>0.3*H52</f>
        <v>5998.0969886784997</v>
      </c>
      <c r="J52" s="105">
        <f>I52*0.3048</f>
        <v>1828.2199621492068</v>
      </c>
      <c r="K52" s="191">
        <f>ABS((J52-E52)/J52)</f>
        <v>6.1236004355258167E-2</v>
      </c>
      <c r="L52" s="197"/>
      <c r="M52" s="201"/>
      <c r="N52" s="11"/>
    </row>
    <row r="53" spans="1:14" ht="16.2" thickTop="1" x14ac:dyDescent="0.3">
      <c r="A53" s="53">
        <f>A$52+0.1*A$52</f>
        <v>117.7</v>
      </c>
      <c r="B53" s="40">
        <v>1242.17596049135</v>
      </c>
      <c r="C53" s="57">
        <f>B53*3.28084</f>
        <v>4075.3805782184409</v>
      </c>
      <c r="D53" s="95">
        <f t="shared" ref="D53:D54" si="4">C53/0.6</f>
        <v>6792.300963697402</v>
      </c>
      <c r="E53" s="96">
        <f t="shared" ref="E53:E54" si="5">D53*0.3048</f>
        <v>2070.2933337349682</v>
      </c>
      <c r="F53" s="89">
        <v>76.322277964302003</v>
      </c>
      <c r="G53" s="60">
        <f>F53*1.94384</f>
        <v>148.3582967981288</v>
      </c>
      <c r="H53" s="31">
        <f>G53^2</f>
        <v>22010.184228841677</v>
      </c>
      <c r="I53" s="95">
        <f>0.3*H53</f>
        <v>6603.0552686525034</v>
      </c>
      <c r="J53" s="96">
        <f t="shared" ref="J53:J54" si="6">I53*0.3048</f>
        <v>2012.6112458852831</v>
      </c>
      <c r="K53" s="189">
        <f>ABS((J53-E53)/J53)</f>
        <v>2.8660322736253321E-2</v>
      </c>
      <c r="L53" s="197"/>
      <c r="M53" s="201"/>
      <c r="N53" s="11"/>
    </row>
    <row r="54" spans="1:14" ht="16.2" thickBot="1" x14ac:dyDescent="0.35">
      <c r="A54" s="54">
        <f>A$52+0.2*A$52</f>
        <v>128.4</v>
      </c>
      <c r="B54" s="29">
        <v>1319.4384133113199</v>
      </c>
      <c r="C54" s="58">
        <f>B54*3.28084</f>
        <v>4328.8663239283105</v>
      </c>
      <c r="D54" s="97">
        <f t="shared" si="4"/>
        <v>7214.7772065471845</v>
      </c>
      <c r="E54" s="98">
        <f t="shared" si="5"/>
        <v>2199.0640925555817</v>
      </c>
      <c r="F54" s="90">
        <v>79.731575334405903</v>
      </c>
      <c r="G54" s="61">
        <f>F54*1.94384</f>
        <v>154.98542539803157</v>
      </c>
      <c r="H54" s="32">
        <f>G54^2</f>
        <v>24020.48208580881</v>
      </c>
      <c r="I54" s="97">
        <f>0.3*H54</f>
        <v>7206.1446257426423</v>
      </c>
      <c r="J54" s="106">
        <f t="shared" si="6"/>
        <v>2196.4328819263574</v>
      </c>
      <c r="K54" s="190">
        <f>ABS((J54-E54)/J54)</f>
        <v>1.1979472037937692E-3</v>
      </c>
      <c r="L54" s="198"/>
      <c r="M54" s="202"/>
      <c r="N54" s="11"/>
    </row>
    <row r="55" spans="1:14" ht="29.4" thickBot="1" x14ac:dyDescent="0.35">
      <c r="A55" s="210" t="s">
        <v>37</v>
      </c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2"/>
    </row>
    <row r="56" spans="1:14" ht="15" thickBot="1" x14ac:dyDescent="0.35">
      <c r="A56" s="7" t="s">
        <v>3</v>
      </c>
      <c r="B56" s="28" t="s">
        <v>17</v>
      </c>
      <c r="C56" s="28" t="s">
        <v>18</v>
      </c>
      <c r="D56" s="49" t="s">
        <v>22</v>
      </c>
      <c r="E56" s="49" t="s">
        <v>23</v>
      </c>
      <c r="F56" s="9" t="s">
        <v>15</v>
      </c>
      <c r="G56" s="7" t="s">
        <v>16</v>
      </c>
      <c r="H56" s="7" t="s">
        <v>21</v>
      </c>
      <c r="I56" s="9" t="s">
        <v>19</v>
      </c>
      <c r="J56" s="48" t="s">
        <v>20</v>
      </c>
      <c r="K56" s="49" t="s">
        <v>13</v>
      </c>
      <c r="L56" s="48" t="s">
        <v>39</v>
      </c>
      <c r="M56" s="49" t="s">
        <v>13</v>
      </c>
    </row>
    <row r="57" spans="1:14" ht="16.8" thickTop="1" thickBot="1" x14ac:dyDescent="0.35">
      <c r="A57" s="42">
        <f>A$52-0.1*A$52</f>
        <v>96.3</v>
      </c>
      <c r="B57" s="41">
        <v>1125.8186946375299</v>
      </c>
      <c r="C57" s="63">
        <f>B57*3.28084</f>
        <v>3693.6310061145937</v>
      </c>
      <c r="D57" s="99">
        <f>C57/0.6</f>
        <v>6156.0516768576563</v>
      </c>
      <c r="E57" s="100">
        <f>D57*0.3048</f>
        <v>1876.3645511062136</v>
      </c>
      <c r="F57" s="85">
        <v>70.594031236416996</v>
      </c>
      <c r="G57" s="38">
        <f>F57*1.94384</f>
        <v>137.22350167859682</v>
      </c>
      <c r="H57" s="30">
        <f>G57^2</f>
        <v>18830.289412935865</v>
      </c>
      <c r="I57" s="107">
        <f>0.3*H57</f>
        <v>5649.0868238807589</v>
      </c>
      <c r="J57" s="108">
        <f>I57*0.3048</f>
        <v>1721.8416639188554</v>
      </c>
      <c r="K57" s="193">
        <f>ABS((J57-E57)/J57)</f>
        <v>8.974279716037839E-2</v>
      </c>
      <c r="L57" s="196">
        <v>1930</v>
      </c>
      <c r="M57" s="199">
        <f>ABS((L57-E58)/L57)</f>
        <v>4.3120662159730594E-2</v>
      </c>
    </row>
    <row r="58" spans="1:14" ht="16.8" thickTop="1" thickBot="1" x14ac:dyDescent="0.35">
      <c r="A58" s="47">
        <f>107</f>
        <v>107</v>
      </c>
      <c r="B58" s="84">
        <v>1207.9336881270899</v>
      </c>
      <c r="C58" s="81">
        <f>B58*3.28084</f>
        <v>3963.0371613548818</v>
      </c>
      <c r="D58" s="101">
        <f>C58/0.6</f>
        <v>6605.0619355914696</v>
      </c>
      <c r="E58" s="102">
        <f>D58*0.3048</f>
        <v>2013.22287796828</v>
      </c>
      <c r="F58" s="203">
        <v>74.412642640049498</v>
      </c>
      <c r="G58" s="83">
        <f>F58*1.94384</f>
        <v>144.64627126943381</v>
      </c>
      <c r="H58" s="80">
        <f>G58^2</f>
        <v>20922.543792150635</v>
      </c>
      <c r="I58" s="104">
        <f>0.3*H58</f>
        <v>6276.76313764519</v>
      </c>
      <c r="J58" s="102">
        <f>I58*0.3048</f>
        <v>1913.1574043542539</v>
      </c>
      <c r="K58" s="194">
        <f>ABS((J58-E58)/J58)</f>
        <v>5.2303837303863204E-2</v>
      </c>
      <c r="L58" s="197"/>
      <c r="M58" s="116"/>
    </row>
    <row r="59" spans="1:14" ht="16.2" thickTop="1" x14ac:dyDescent="0.3">
      <c r="A59" s="42">
        <f>A$52+0.1*A$52</f>
        <v>117.7</v>
      </c>
      <c r="B59" s="40">
        <v>1290.0822978661199</v>
      </c>
      <c r="C59" s="62">
        <f>B59*3.28084</f>
        <v>4232.5536061310804</v>
      </c>
      <c r="D59" s="101">
        <f>C59/0.6</f>
        <v>7054.256010218468</v>
      </c>
      <c r="E59" s="94">
        <f>D59*0.3048</f>
        <v>2150.1372319145889</v>
      </c>
      <c r="F59" s="86">
        <v>78.075082581064393</v>
      </c>
      <c r="G59" s="36">
        <f>F59*1.94384</f>
        <v>151.76546852437622</v>
      </c>
      <c r="H59" s="31">
        <f>G59^2</f>
        <v>23032.757436423428</v>
      </c>
      <c r="I59" s="95">
        <f>0.3*H59</f>
        <v>6909.8272309270278</v>
      </c>
      <c r="J59" s="105">
        <f t="shared" ref="J59:J60" si="7">I59*0.3048</f>
        <v>2106.1153399865584</v>
      </c>
      <c r="K59" s="194">
        <f>ABS((J59-E59)/J59)</f>
        <v>2.0901937843684992E-2</v>
      </c>
      <c r="L59" s="197"/>
      <c r="M59" s="116"/>
    </row>
    <row r="60" spans="1:14" ht="16.2" thickBot="1" x14ac:dyDescent="0.35">
      <c r="A60" s="42">
        <f>A$52+0.2*A$52</f>
        <v>128.4</v>
      </c>
      <c r="B60" s="44">
        <v>1371.3763918556499</v>
      </c>
      <c r="C60" s="62">
        <f>B60*3.28084</f>
        <v>4499.2665214556901</v>
      </c>
      <c r="D60" s="95">
        <f>C60/0.6</f>
        <v>7498.7775357594837</v>
      </c>
      <c r="E60" s="94">
        <f>D60*0.3048</f>
        <v>2285.6273928994906</v>
      </c>
      <c r="F60" s="85">
        <v>81.562677301950004</v>
      </c>
      <c r="G60" s="45">
        <f>F60*1.94384</f>
        <v>158.54479464662251</v>
      </c>
      <c r="H60" s="30">
        <f>G60^2</f>
        <v>25136.451909539701</v>
      </c>
      <c r="I60" s="95">
        <f>0.3*H60</f>
        <v>7540.9355728619103</v>
      </c>
      <c r="J60" s="105">
        <f t="shared" si="7"/>
        <v>2298.4771626083102</v>
      </c>
      <c r="K60" s="189">
        <f>ABS((J60-E60)/J60)</f>
        <v>5.5905579215056083E-3</v>
      </c>
      <c r="L60" s="197"/>
      <c r="M60" s="116"/>
    </row>
    <row r="61" spans="1:14" ht="29.4" thickBot="1" x14ac:dyDescent="0.35">
      <c r="A61" s="207" t="s">
        <v>38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9"/>
    </row>
    <row r="62" spans="1:14" ht="15" thickBot="1" x14ac:dyDescent="0.35">
      <c r="A62" s="7" t="s">
        <v>3</v>
      </c>
      <c r="B62" s="28" t="s">
        <v>17</v>
      </c>
      <c r="C62" s="28" t="s">
        <v>18</v>
      </c>
      <c r="D62" s="49" t="s">
        <v>22</v>
      </c>
      <c r="E62" s="49" t="s">
        <v>23</v>
      </c>
      <c r="F62" s="9" t="s">
        <v>15</v>
      </c>
      <c r="G62" s="7" t="s">
        <v>16</v>
      </c>
      <c r="H62" s="7" t="s">
        <v>21</v>
      </c>
      <c r="I62" s="9" t="s">
        <v>19</v>
      </c>
      <c r="J62" s="48" t="s">
        <v>20</v>
      </c>
      <c r="K62" s="49" t="s">
        <v>13</v>
      </c>
      <c r="L62" s="48" t="s">
        <v>39</v>
      </c>
      <c r="M62" s="49" t="s">
        <v>13</v>
      </c>
    </row>
    <row r="63" spans="1:14" ht="16.8" thickTop="1" thickBot="1" x14ac:dyDescent="0.35">
      <c r="A63" s="42">
        <f>A$52-0.1*A$52</f>
        <v>96.3</v>
      </c>
      <c r="B63" s="41">
        <v>1153.40823164363</v>
      </c>
      <c r="C63" s="55">
        <f>B63*3.28084</f>
        <v>3784.1478627056867</v>
      </c>
      <c r="D63" s="91">
        <f>C63/0.6</f>
        <v>6306.9131045094782</v>
      </c>
      <c r="E63" s="92">
        <f>D63*0.3048</f>
        <v>1922.347114254489</v>
      </c>
      <c r="F63" s="85">
        <v>72.254700370229997</v>
      </c>
      <c r="G63" s="38">
        <f>F63*1.94384</f>
        <v>140.45157676766789</v>
      </c>
      <c r="H63" s="30">
        <f>G63^2</f>
        <v>19726.645416524105</v>
      </c>
      <c r="I63" s="107">
        <f>0.3*H63</f>
        <v>5917.9936249572311</v>
      </c>
      <c r="J63" s="108">
        <f>I63*0.3048</f>
        <v>1803.8044568869641</v>
      </c>
      <c r="K63" s="195">
        <f>ABS((J63-E63)/J63)</f>
        <v>6.5718130873292022E-2</v>
      </c>
      <c r="L63" s="196">
        <v>2080</v>
      </c>
      <c r="M63" s="199">
        <f>ABS((L63-E64)/L63)</f>
        <v>7.6940338803767033E-3</v>
      </c>
    </row>
    <row r="64" spans="1:14" ht="16.8" thickTop="1" thickBot="1" x14ac:dyDescent="0.35">
      <c r="A64" s="47">
        <f>107</f>
        <v>107</v>
      </c>
      <c r="B64" s="84">
        <v>1238.3978060885599</v>
      </c>
      <c r="C64" s="81">
        <f>B64*3.28084</f>
        <v>4062.9850581275909</v>
      </c>
      <c r="D64" s="93">
        <f>C64/0.6</f>
        <v>6771.6417635459848</v>
      </c>
      <c r="E64" s="102">
        <f>D64*0.3048</f>
        <v>2063.9964095288165</v>
      </c>
      <c r="F64" s="82">
        <v>76.163141607646395</v>
      </c>
      <c r="G64" s="83">
        <f>F64*1.94384</f>
        <v>148.04896118260737</v>
      </c>
      <c r="H64" s="80">
        <f>G64^2</f>
        <v>21918.494907249184</v>
      </c>
      <c r="I64" s="104">
        <f>0.3*H64</f>
        <v>6575.5484721747553</v>
      </c>
      <c r="J64" s="102">
        <f>I64*0.3048</f>
        <v>2004.2271743188655</v>
      </c>
      <c r="K64" s="189">
        <f>ABS((J64-E64)/J64)</f>
        <v>2.9821587081446211E-2</v>
      </c>
      <c r="L64" s="197"/>
      <c r="M64" s="116"/>
    </row>
    <row r="65" spans="1:14" ht="16.2" thickTop="1" x14ac:dyDescent="0.3">
      <c r="A65" s="42">
        <f>A$52+0.1*A$52</f>
        <v>117.7</v>
      </c>
      <c r="B65" s="40">
        <v>1323.4390870078801</v>
      </c>
      <c r="C65" s="64">
        <f t="shared" ref="C65:C66" si="8">B65*3.28084</f>
        <v>4341.9918942189333</v>
      </c>
      <c r="D65" s="95">
        <f>C65/0.6</f>
        <v>7236.6531570315556</v>
      </c>
      <c r="E65" s="94">
        <f>D65*0.3048</f>
        <v>2205.7318822632183</v>
      </c>
      <c r="F65" s="86">
        <v>79.911737571458005</v>
      </c>
      <c r="G65" s="36">
        <f>F65*1.94384</f>
        <v>155.33563196090293</v>
      </c>
      <c r="H65" s="31">
        <f>G65^2</f>
        <v>24129.158556693088</v>
      </c>
      <c r="I65" s="95">
        <f>0.3*H65</f>
        <v>7238.7475670079266</v>
      </c>
      <c r="J65" s="105">
        <f t="shared" ref="J65:J66" si="9">I65*0.3048</f>
        <v>2206.3702584240164</v>
      </c>
      <c r="K65" s="194">
        <f>ABS((J65-E65)/J65)</f>
        <v>2.8933319707367386E-4</v>
      </c>
      <c r="L65" s="197"/>
      <c r="M65" s="116"/>
      <c r="N65" s="6"/>
    </row>
    <row r="66" spans="1:14" ht="16.2" thickBot="1" x14ac:dyDescent="0.35">
      <c r="A66" s="43">
        <f>A$52+0.2*A$52</f>
        <v>128.4</v>
      </c>
      <c r="B66" s="29">
        <v>1407.61119343428</v>
      </c>
      <c r="C66" s="56">
        <f t="shared" si="8"/>
        <v>4618.1471078669229</v>
      </c>
      <c r="D66" s="97">
        <f>C66/0.6</f>
        <v>7696.911846444872</v>
      </c>
      <c r="E66" s="98">
        <f>D66*0.3048</f>
        <v>2346.018730796397</v>
      </c>
      <c r="F66" s="87">
        <v>83.481375218674998</v>
      </c>
      <c r="G66" s="37">
        <f>F66*1.94384</f>
        <v>162.2744364050692</v>
      </c>
      <c r="H66" s="32">
        <f>G66^2</f>
        <v>26332.992710582846</v>
      </c>
      <c r="I66" s="97">
        <f>0.3*H66</f>
        <v>7899.8978131748536</v>
      </c>
      <c r="J66" s="106">
        <f t="shared" si="9"/>
        <v>2407.8888534556954</v>
      </c>
      <c r="K66" s="190">
        <f>ABS((J66-E66)/J66)</f>
        <v>2.5694758531111257E-2</v>
      </c>
      <c r="L66" s="198"/>
      <c r="M66" s="117"/>
      <c r="N66" s="6"/>
    </row>
    <row r="67" spans="1:14" ht="15" thickTop="1" x14ac:dyDescent="0.3">
      <c r="M67" s="50"/>
    </row>
  </sheetData>
  <mergeCells count="36">
    <mergeCell ref="A3:F3"/>
    <mergeCell ref="A1:F2"/>
    <mergeCell ref="E18:F18"/>
    <mergeCell ref="A21:D21"/>
    <mergeCell ref="E20:F20"/>
    <mergeCell ref="B12:D12"/>
    <mergeCell ref="E19:F19"/>
    <mergeCell ref="E21:F21"/>
    <mergeCell ref="B13:D13"/>
    <mergeCell ref="B14:D14"/>
    <mergeCell ref="M63:M66"/>
    <mergeCell ref="B4:F4"/>
    <mergeCell ref="B5:F5"/>
    <mergeCell ref="B6:F6"/>
    <mergeCell ref="B7:F7"/>
    <mergeCell ref="B8:F8"/>
    <mergeCell ref="B9:F9"/>
    <mergeCell ref="B10:F10"/>
    <mergeCell ref="B15:F15"/>
    <mergeCell ref="B16:F16"/>
    <mergeCell ref="B17:F17"/>
    <mergeCell ref="B18:D18"/>
    <mergeCell ref="B19:D19"/>
    <mergeCell ref="B20:D20"/>
    <mergeCell ref="A49:M49"/>
    <mergeCell ref="A61:M61"/>
    <mergeCell ref="A29:I29"/>
    <mergeCell ref="B11:F11"/>
    <mergeCell ref="H31:H46"/>
    <mergeCell ref="I31:I46"/>
    <mergeCell ref="L63:L66"/>
    <mergeCell ref="A55:M55"/>
    <mergeCell ref="L51:L54"/>
    <mergeCell ref="M51:M54"/>
    <mergeCell ref="L57:L60"/>
    <mergeCell ref="M57:M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zoomScale="55" zoomScaleNormal="55" workbookViewId="0">
      <selection activeCell="A58" sqref="A58"/>
    </sheetView>
  </sheetViews>
  <sheetFormatPr defaultRowHeight="14.4" x14ac:dyDescent="0.3"/>
  <sheetData>
    <row r="1" spans="1:46" x14ac:dyDescent="0.3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2"/>
      <c r="W1" s="171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3"/>
    </row>
    <row r="2" spans="1:46" x14ac:dyDescent="0.3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  <c r="W2" s="174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6"/>
    </row>
    <row r="3" spans="1:46" x14ac:dyDescent="0.3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  <c r="W3" s="174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6"/>
    </row>
    <row r="4" spans="1:46" x14ac:dyDescent="0.3">
      <c r="A4" s="183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  <c r="W4" s="174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6"/>
    </row>
    <row r="5" spans="1:46" x14ac:dyDescent="0.3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  <c r="W5" s="174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6"/>
    </row>
    <row r="6" spans="1:46" x14ac:dyDescent="0.3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  <c r="W6" s="174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6"/>
    </row>
    <row r="7" spans="1:46" x14ac:dyDescent="0.3">
      <c r="A7" s="183"/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  <c r="W7" s="174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6"/>
    </row>
    <row r="8" spans="1:46" x14ac:dyDescent="0.3">
      <c r="A8" s="183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  <c r="W8" s="174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6"/>
    </row>
    <row r="9" spans="1:46" x14ac:dyDescent="0.3">
      <c r="A9" s="183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  <c r="W9" s="174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6"/>
    </row>
    <row r="10" spans="1:46" x14ac:dyDescent="0.3">
      <c r="A10" s="183"/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  <c r="W10" s="174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6"/>
    </row>
    <row r="11" spans="1:46" x14ac:dyDescent="0.3">
      <c r="A11" s="183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5"/>
      <c r="W11" s="174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6"/>
    </row>
    <row r="12" spans="1:46" x14ac:dyDescent="0.3">
      <c r="A12" s="183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5"/>
      <c r="W12" s="174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6"/>
    </row>
    <row r="13" spans="1:46" x14ac:dyDescent="0.3">
      <c r="A13" s="183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5"/>
      <c r="W13" s="174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6"/>
    </row>
    <row r="14" spans="1:46" x14ac:dyDescent="0.3">
      <c r="A14" s="183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5"/>
      <c r="W14" s="174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6"/>
    </row>
    <row r="15" spans="1:46" x14ac:dyDescent="0.3">
      <c r="A15" s="183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5"/>
      <c r="W15" s="174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6"/>
    </row>
    <row r="16" spans="1:46" x14ac:dyDescent="0.3">
      <c r="A16" s="183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5"/>
      <c r="W16" s="174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6"/>
    </row>
    <row r="17" spans="1:46" x14ac:dyDescent="0.3">
      <c r="A17" s="183"/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5"/>
      <c r="W17" s="174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6"/>
    </row>
    <row r="18" spans="1:46" x14ac:dyDescent="0.3">
      <c r="A18" s="183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5"/>
      <c r="W18" s="174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6"/>
    </row>
    <row r="19" spans="1:46" x14ac:dyDescent="0.3">
      <c r="A19" s="183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5"/>
      <c r="W19" s="174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6"/>
    </row>
    <row r="20" spans="1:46" x14ac:dyDescent="0.3">
      <c r="A20" s="183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5"/>
      <c r="W20" s="174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6"/>
    </row>
    <row r="21" spans="1:46" x14ac:dyDescent="0.3">
      <c r="A21" s="183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5"/>
      <c r="W21" s="174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6"/>
    </row>
    <row r="22" spans="1:46" x14ac:dyDescent="0.3">
      <c r="A22" s="183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5"/>
      <c r="W22" s="174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6"/>
    </row>
    <row r="23" spans="1:46" x14ac:dyDescent="0.3">
      <c r="A23" s="183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5"/>
      <c r="W23" s="174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6"/>
    </row>
    <row r="24" spans="1:46" x14ac:dyDescent="0.3">
      <c r="A24" s="183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5"/>
      <c r="W24" s="174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6"/>
    </row>
    <row r="25" spans="1:46" x14ac:dyDescent="0.3">
      <c r="A25" s="183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5"/>
      <c r="W25" s="174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6"/>
    </row>
    <row r="26" spans="1:46" x14ac:dyDescent="0.3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5"/>
      <c r="W26" s="174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6"/>
    </row>
    <row r="27" spans="1:46" x14ac:dyDescent="0.3">
      <c r="A27" s="18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5"/>
      <c r="W27" s="174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6"/>
    </row>
    <row r="28" spans="1:46" x14ac:dyDescent="0.3">
      <c r="A28" s="183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5"/>
      <c r="W28" s="174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6"/>
    </row>
    <row r="29" spans="1:46" x14ac:dyDescent="0.3">
      <c r="A29" s="183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5"/>
      <c r="W29" s="174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6"/>
    </row>
    <row r="30" spans="1:46" x14ac:dyDescent="0.3">
      <c r="A30" s="183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5"/>
      <c r="W30" s="174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6"/>
    </row>
    <row r="31" spans="1:46" x14ac:dyDescent="0.3">
      <c r="A31" s="183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5"/>
      <c r="W31" s="174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6"/>
    </row>
    <row r="32" spans="1:46" x14ac:dyDescent="0.3">
      <c r="A32" s="183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5"/>
      <c r="W32" s="174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6"/>
    </row>
    <row r="33" spans="1:46" x14ac:dyDescent="0.3">
      <c r="A33" s="183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5"/>
      <c r="W33" s="174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6"/>
    </row>
    <row r="34" spans="1:46" x14ac:dyDescent="0.3">
      <c r="A34" s="183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5"/>
      <c r="W34" s="174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6"/>
    </row>
    <row r="35" spans="1:46" x14ac:dyDescent="0.3">
      <c r="A35" s="183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5"/>
      <c r="W35" s="174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6"/>
    </row>
    <row r="36" spans="1:46" x14ac:dyDescent="0.3">
      <c r="A36" s="183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5"/>
      <c r="W36" s="174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6"/>
    </row>
    <row r="37" spans="1:46" x14ac:dyDescent="0.3">
      <c r="A37" s="183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5"/>
      <c r="W37" s="174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6"/>
    </row>
    <row r="38" spans="1:46" x14ac:dyDescent="0.3">
      <c r="A38" s="183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5"/>
      <c r="W38" s="174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6"/>
    </row>
    <row r="39" spans="1:46" x14ac:dyDescent="0.3">
      <c r="A39" s="183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5"/>
      <c r="W39" s="174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6"/>
    </row>
    <row r="40" spans="1:46" x14ac:dyDescent="0.3">
      <c r="A40" s="183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5"/>
      <c r="W40" s="174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6"/>
    </row>
    <row r="41" spans="1:46" x14ac:dyDescent="0.3">
      <c r="A41" s="183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5"/>
      <c r="W41" s="174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6"/>
    </row>
    <row r="42" spans="1:46" x14ac:dyDescent="0.3">
      <c r="A42" s="183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5"/>
      <c r="W42" s="174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6"/>
    </row>
    <row r="43" spans="1:46" x14ac:dyDescent="0.3">
      <c r="A43" s="183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5"/>
      <c r="W43" s="174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6"/>
    </row>
    <row r="44" spans="1:46" x14ac:dyDescent="0.3">
      <c r="A44" s="183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5"/>
      <c r="W44" s="174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6"/>
    </row>
    <row r="45" spans="1:46" x14ac:dyDescent="0.3">
      <c r="A45" s="183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5"/>
      <c r="W45" s="174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6"/>
    </row>
    <row r="46" spans="1:46" x14ac:dyDescent="0.3">
      <c r="A46" s="183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5"/>
      <c r="W46" s="174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6"/>
    </row>
    <row r="47" spans="1:46" x14ac:dyDescent="0.3">
      <c r="A47" s="183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5"/>
      <c r="W47" s="174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6"/>
    </row>
    <row r="48" spans="1:46" x14ac:dyDescent="0.3">
      <c r="A48" s="183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5"/>
      <c r="W48" s="174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6"/>
    </row>
    <row r="49" spans="1:46" x14ac:dyDescent="0.3">
      <c r="A49" s="183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5"/>
      <c r="W49" s="174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6"/>
    </row>
    <row r="50" spans="1:46" x14ac:dyDescent="0.3">
      <c r="A50" s="183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5"/>
      <c r="W50" s="174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6"/>
    </row>
    <row r="51" spans="1:46" x14ac:dyDescent="0.3">
      <c r="A51" s="183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5"/>
      <c r="W51" s="174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6"/>
    </row>
    <row r="52" spans="1:46" x14ac:dyDescent="0.3">
      <c r="A52" s="183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5"/>
      <c r="W52" s="174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6"/>
    </row>
    <row r="53" spans="1:46" x14ac:dyDescent="0.3">
      <c r="A53" s="183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5"/>
      <c r="W53" s="174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6"/>
    </row>
    <row r="54" spans="1:46" x14ac:dyDescent="0.3">
      <c r="A54" s="183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5"/>
      <c r="W54" s="174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6"/>
    </row>
    <row r="55" spans="1:46" x14ac:dyDescent="0.3">
      <c r="A55" s="183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5"/>
      <c r="W55" s="174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6"/>
    </row>
    <row r="56" spans="1:46" ht="15" thickBot="1" x14ac:dyDescent="0.35">
      <c r="A56" s="186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8"/>
      <c r="W56" s="177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9"/>
    </row>
  </sheetData>
  <mergeCells count="2">
    <mergeCell ref="W1:AT56"/>
    <mergeCell ref="A1:V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TO&amp;Landing Sensibility Analysis</vt:lpstr>
      <vt:lpstr>Charts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</cp:lastModifiedBy>
  <dcterms:created xsi:type="dcterms:W3CDTF">2016-03-14T11:15:23Z</dcterms:created>
  <dcterms:modified xsi:type="dcterms:W3CDTF">2016-03-19T17:30:00Z</dcterms:modified>
</cp:coreProperties>
</file>