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U:\Laboratoire\Documents_Journee_Mila_Quantique\"/>
    </mc:Choice>
  </mc:AlternateContent>
  <xr:revisionPtr revIDLastSave="0" documentId="13_ncr:1_{CB0D42AF-D00C-491E-9EE9-31C41B72F1A3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Simulations_Put" sheetId="1" r:id="rId1"/>
    <sheet name="Binomial_Tree_Put" sheetId="3" r:id="rId2"/>
    <sheet name="Analytical_Formula_Put" sheetId="5" r:id="rId3"/>
    <sheet name="Simulations_Call" sheetId="2" r:id="rId4"/>
    <sheet name="Binomial_Tree_Call" sheetId="4" r:id="rId5"/>
    <sheet name="Analytical_Formula_Ca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B8" i="6"/>
  <c r="B6" i="6"/>
  <c r="B7" i="6" s="1"/>
  <c r="B6" i="5"/>
  <c r="B7" i="5" s="1"/>
  <c r="I26" i="4"/>
  <c r="I24" i="4"/>
  <c r="I22" i="4"/>
  <c r="I20" i="4"/>
  <c r="I18" i="4"/>
  <c r="I16" i="4"/>
  <c r="J26" i="4"/>
  <c r="G26" i="4"/>
  <c r="D23" i="4"/>
  <c r="B21" i="4"/>
  <c r="B8" i="4"/>
  <c r="F25" i="4" s="1"/>
  <c r="B7" i="4"/>
  <c r="D19" i="4" s="1"/>
  <c r="G18" i="3"/>
  <c r="G16" i="3"/>
  <c r="B9" i="3"/>
  <c r="H26" i="3" s="1"/>
  <c r="B21" i="3"/>
  <c r="B8" i="3"/>
  <c r="E24" i="3" s="1"/>
  <c r="B7" i="3"/>
  <c r="C20" i="3" s="1"/>
  <c r="C12" i="2"/>
  <c r="C11" i="2"/>
  <c r="D11" i="2" s="1"/>
  <c r="C19" i="2"/>
  <c r="D19" i="2" s="1"/>
  <c r="B19" i="2"/>
  <c r="C18" i="2"/>
  <c r="D18" i="2" s="1"/>
  <c r="B18" i="2"/>
  <c r="C17" i="2"/>
  <c r="B17" i="2"/>
  <c r="C16" i="2"/>
  <c r="B16" i="2"/>
  <c r="C15" i="2"/>
  <c r="D15" i="2" s="1"/>
  <c r="B15" i="2"/>
  <c r="C14" i="2"/>
  <c r="B14" i="2"/>
  <c r="C13" i="2"/>
  <c r="B13" i="2"/>
  <c r="B12" i="2"/>
  <c r="B11" i="2"/>
  <c r="C10" i="2"/>
  <c r="D10" i="2" s="1"/>
  <c r="B10" i="2"/>
  <c r="C10" i="1"/>
  <c r="D10" i="1" s="1"/>
  <c r="E10" i="1" s="1"/>
  <c r="C13" i="1"/>
  <c r="D13" i="1" s="1"/>
  <c r="E13" i="1" s="1"/>
  <c r="C12" i="1"/>
  <c r="D12" i="1" s="1"/>
  <c r="E12" i="1" s="1"/>
  <c r="C11" i="1"/>
  <c r="D11" i="1" s="1"/>
  <c r="E11" i="1" s="1"/>
  <c r="C19" i="1"/>
  <c r="D19" i="1" s="1"/>
  <c r="E19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B11" i="1"/>
  <c r="B12" i="1"/>
  <c r="B13" i="1"/>
  <c r="B14" i="1"/>
  <c r="B15" i="1"/>
  <c r="B16" i="1"/>
  <c r="B17" i="1"/>
  <c r="B18" i="1"/>
  <c r="B19" i="1"/>
  <c r="B10" i="1"/>
  <c r="F19" i="4" l="1"/>
  <c r="F17" i="4"/>
  <c r="C20" i="4"/>
  <c r="F21" i="4"/>
  <c r="E20" i="4"/>
  <c r="G18" i="4"/>
  <c r="J18" i="4" s="1"/>
  <c r="G20" i="4"/>
  <c r="J20" i="4" s="1"/>
  <c r="E22" i="4"/>
  <c r="G24" i="4"/>
  <c r="J24" i="4" s="1"/>
  <c r="G22" i="4"/>
  <c r="J22" i="4" s="1"/>
  <c r="D21" i="4"/>
  <c r="B9" i="4"/>
  <c r="E18" i="4"/>
  <c r="C22" i="4"/>
  <c r="E24" i="4"/>
  <c r="G16" i="4"/>
  <c r="J16" i="4" s="1"/>
  <c r="F23" i="4"/>
  <c r="H16" i="3"/>
  <c r="H18" i="3"/>
  <c r="H20" i="3"/>
  <c r="H22" i="3"/>
  <c r="H24" i="3"/>
  <c r="B10" i="3"/>
  <c r="G22" i="3"/>
  <c r="I22" i="3" s="1"/>
  <c r="J22" i="3" s="1"/>
  <c r="G24" i="3"/>
  <c r="I24" i="3" s="1"/>
  <c r="J24" i="3" s="1"/>
  <c r="G26" i="3"/>
  <c r="I26" i="3" s="1"/>
  <c r="J26" i="3" s="1"/>
  <c r="E18" i="3"/>
  <c r="E20" i="3"/>
  <c r="D21" i="3"/>
  <c r="B7" i="1"/>
  <c r="E22" i="3"/>
  <c r="I18" i="3"/>
  <c r="J18" i="3" s="1"/>
  <c r="F23" i="3"/>
  <c r="D23" i="3"/>
  <c r="G20" i="3"/>
  <c r="I20" i="3" s="1"/>
  <c r="J20" i="3" s="1"/>
  <c r="F25" i="3"/>
  <c r="C22" i="3"/>
  <c r="F17" i="3"/>
  <c r="F19" i="3"/>
  <c r="D19" i="3"/>
  <c r="I16" i="3"/>
  <c r="J16" i="3" s="1"/>
  <c r="F21" i="3"/>
  <c r="D17" i="2"/>
  <c r="E17" i="2" s="1"/>
  <c r="D16" i="2"/>
  <c r="E16" i="2" s="1"/>
  <c r="E18" i="2"/>
  <c r="D14" i="2"/>
  <c r="E14" i="2" s="1"/>
  <c r="E15" i="2"/>
  <c r="E19" i="2"/>
  <c r="D13" i="2"/>
  <c r="E13" i="2" s="1"/>
  <c r="D12" i="2"/>
  <c r="E12" i="2" s="1"/>
  <c r="E10" i="2"/>
  <c r="E11" i="2"/>
  <c r="H26" i="4" l="1"/>
  <c r="H16" i="4"/>
  <c r="B11" i="4" s="1"/>
  <c r="H22" i="4"/>
  <c r="H24" i="4"/>
  <c r="H20" i="4"/>
  <c r="H18" i="4"/>
  <c r="B10" i="4"/>
  <c r="B11" i="3"/>
  <c r="B7" i="2"/>
</calcChain>
</file>

<file path=xl/sharedStrings.xml><?xml version="1.0" encoding="utf-8"?>
<sst xmlns="http://schemas.openxmlformats.org/spreadsheetml/2006/main" count="100" uniqueCount="41">
  <si>
    <t xml:space="preserve">Number of scenarios : </t>
  </si>
  <si>
    <t xml:space="preserve">Volatility : </t>
  </si>
  <si>
    <t>Initial Stock Price :</t>
  </si>
  <si>
    <t xml:space="preserve">Maturity : </t>
  </si>
  <si>
    <t xml:space="preserve">Strike Price : </t>
  </si>
  <si>
    <t xml:space="preserve">Scenario 1 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</si>
  <si>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</si>
  <si>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</si>
  <si>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</si>
  <si>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</si>
  <si>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</si>
  <si>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</si>
  <si>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</si>
  <si>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</si>
  <si>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Stock price t = 0</t>
  </si>
  <si>
    <t>Stock price t = 5</t>
  </si>
  <si>
    <t>Payoff t = 5</t>
  </si>
  <si>
    <t>Scenario 10</t>
  </si>
  <si>
    <t xml:space="preserve">Risk-free rate : </t>
  </si>
  <si>
    <t>Discounted payoff t = 5</t>
  </si>
  <si>
    <t>Simulated put Value with 10 scenarios</t>
  </si>
  <si>
    <t>Simulated call Value with 10 scenarios</t>
  </si>
  <si>
    <t>u:</t>
  </si>
  <si>
    <t>d:</t>
  </si>
  <si>
    <t>p:</t>
  </si>
  <si>
    <t>Timestep :</t>
  </si>
  <si>
    <t>t = 0</t>
  </si>
  <si>
    <t>t = 1</t>
  </si>
  <si>
    <t>t = 2</t>
  </si>
  <si>
    <t>t = 3</t>
  </si>
  <si>
    <t>t = 4</t>
  </si>
  <si>
    <t>t = 5</t>
  </si>
  <si>
    <t>Binomial tree for asset price</t>
  </si>
  <si>
    <t>Put value with binomial tree :</t>
  </si>
  <si>
    <t>Probability</t>
  </si>
  <si>
    <t>1-p :</t>
  </si>
  <si>
    <t>Call value with binomial tree :</t>
  </si>
  <si>
    <t>d1 :</t>
  </si>
  <si>
    <t>d2 :</t>
  </si>
  <si>
    <t>Put value analytical formula :</t>
  </si>
  <si>
    <t>Call value analytical formula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</si>
</sst>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A14" sqref="A14"/>
    </sheetView>
  </sheetViews>
  <sheetFormatPr baseColWidth="10" defaultColWidth="8.7265625" defaultRowHeight="14.5" x14ac:dyDescent="0.35"/>
  <cols>
    <col min="1" max="1" width="32.6328125" bestFit="1" customWidth="1"/>
    <col min="2" max="3" width="13.7265625" bestFit="1" customWidth="1"/>
    <col min="4" max="4" width="10.26953125" customWidth="1"/>
    <col min="5" max="5" width="20.08984375" bestFit="1" customWidth="1"/>
  </cols>
  <sheetData>
    <row r="1" spans="1:5" x14ac:dyDescent="0.35">
      <c r="A1" s="1" t="s">
        <v>0</v>
      </c>
      <c r="B1" s="1">
        <v>10</v>
      </c>
    </row>
    <row r="2" spans="1:5" x14ac:dyDescent="0.35">
      <c r="A2" s="1" t="s">
        <v>18</v>
      </c>
      <c r="B2" s="1">
        <v>0.02</v>
      </c>
    </row>
    <row r="3" spans="1:5" x14ac:dyDescent="0.35">
      <c r="A3" s="1" t="s">
        <v>1</v>
      </c>
      <c r="B3" s="1">
        <v>0.2</v>
      </c>
    </row>
    <row r="4" spans="1:5" x14ac:dyDescent="0.35">
      <c r="A4" s="1" t="s">
        <v>2</v>
      </c>
      <c r="B4" s="1">
        <v>100</v>
      </c>
    </row>
    <row r="5" spans="1:5" x14ac:dyDescent="0.35">
      <c r="A5" s="1" t="s">
        <v>3</v>
      </c>
      <c r="B5" s="1">
        <v>5</v>
      </c>
    </row>
    <row r="6" spans="1:5" x14ac:dyDescent="0.35">
      <c r="A6" s="1" t="s">
        <v>4</v>
      </c>
      <c r="B6" s="1">
        <v>100</v>
      </c>
    </row>
    <row r="7" spans="1:5" x14ac:dyDescent="0.35">
      <c r="A7" s="1" t="s">
        <v>20</v>
      </c>
      <c r="B7" s="1">
        <f ca="1">AVERAGE(E10:E19)</f>
        <v>19.834330288377913</v>
      </c>
    </row>
    <row r="9" spans="1:5" x14ac:dyDescent="0.35">
      <c r="B9" s="2" t="s">
        <v>14</v>
      </c>
      <c r="C9" s="2" t="s">
        <v>15</v>
      </c>
      <c r="D9" s="2" t="s">
        <v>16</v>
      </c>
      <c r="E9" s="2" t="s">
        <v>19</v>
      </c>
    </row>
    <row r="10" spans="1:5" x14ac:dyDescent="0.35">
      <c r="A10" s="2" t="s">
        <v>5</v>
      </c>
      <c r="B10" s="2">
        <f>$B$4</f>
        <v>100</v>
      </c>
      <c r="C10" s="2">
        <f ca="1">B10 * EXP(($B$2- 0.5 * $B$3 * $B$3) * $B$5 + $B$3 * SQRT($B$5) * _xlfn.NORM.S.INV(RAND()))</f>
        <v>111.01090771286812</v>
      </c>
      <c r="D10" s="2">
        <f ca="1">MAX($B$6-C10,0)</f>
        <v>0</v>
      </c>
      <c r="E10" s="2">
        <f ca="1">D10 * EXP(-$B$2 * $B$5)</f>
        <v>0</v>
      </c>
    </row>
    <row r="11" spans="1:5" x14ac:dyDescent="0.35">
      <c r="A11" s="2" t="s">
        <v>6</v>
      </c>
      <c r="B11" s="2">
        <f t="shared" ref="B11:B19" si="0">$B$4</f>
        <v>100</v>
      </c>
      <c r="C11" s="2">
        <f ca="1">B11 * EXP(($B$2- 0.5 * $B$3 * $B$3) * $B$5 + $B$3 * SQRT($B$5) * _xlfn.NORM.S.INV(RAND()))</f>
        <v>63.40614006078814</v>
      </c>
      <c r="D11" s="2">
        <f t="shared" ref="D11:D19" ca="1" si="1">MAX($B$6-C11,0)</f>
        <v>36.59385993921186</v>
      </c>
      <c r="E11" s="2">
        <f t="shared" ref="E11:E19" ca="1" si="2">D11 * EXP(-$B$2 * $B$5)</f>
        <v>33.111493743365997</v>
      </c>
    </row>
    <row r="12" spans="1:5" x14ac:dyDescent="0.35">
      <c r="A12" s="2" t="s">
        <v>7</v>
      </c>
      <c r="B12" s="2">
        <f t="shared" si="0"/>
        <v>100</v>
      </c>
      <c r="C12" s="2">
        <f ca="1">B12 * EXP(($B$2- 0.5 * $B$3 * $B$3) * $B$5 + $B$3 * SQRT($B$5) * _xlfn.NORM.S.INV(RAND()))</f>
        <v>53.044265017048765</v>
      </c>
      <c r="D12" s="2">
        <f t="shared" ca="1" si="1"/>
        <v>46.955734982951235</v>
      </c>
      <c r="E12" s="2">
        <f t="shared" ca="1" si="2"/>
        <v>42.487306003954373</v>
      </c>
    </row>
    <row r="13" spans="1:5" x14ac:dyDescent="0.35">
      <c r="A13" s="2" t="s">
        <v>8</v>
      </c>
      <c r="B13" s="2">
        <f t="shared" si="0"/>
        <v>100</v>
      </c>
      <c r="C13" s="2">
        <f ca="1">B13 * EXP(($B$2- 0.5 * $B$3 * $B$3) * $B$5 + $B$3 * SQRT($B$5) * _xlfn.NORM.S.INV(RAND()))</f>
        <v>73.303117054828462</v>
      </c>
      <c r="D13" s="2">
        <f t="shared" ca="1" si="1"/>
        <v>26.696882945171538</v>
      </c>
      <c r="E13" s="2">
        <f t="shared" ca="1" si="2"/>
        <v>24.156338633717258</v>
      </c>
    </row>
    <row r="14" spans="1:5" x14ac:dyDescent="0.35">
      <c r="A14" s="2" t="s">
        <v>9</v>
      </c>
      <c r="B14" s="2">
        <f t="shared" si="0"/>
        <v>100</v>
      </c>
      <c r="C14" s="2">
        <f t="shared" ref="C11:C19" ca="1" si="3">B14 * EXP(($B$2- 0.5 * $B$3 * $B$3) * $B$5 + $B$3 * SQRT($B$5) * _xlfn.NORM.S.INV(RAND()))</f>
        <v>75.013968882980393</v>
      </c>
      <c r="D14" s="2">
        <f t="shared" ca="1" si="1"/>
        <v>24.986031117019607</v>
      </c>
      <c r="E14" s="2">
        <f t="shared" ca="1" si="2"/>
        <v>22.608295882890161</v>
      </c>
    </row>
    <row r="15" spans="1:5" x14ac:dyDescent="0.35">
      <c r="A15" s="2" t="s">
        <v>10</v>
      </c>
      <c r="B15" s="2">
        <f t="shared" si="0"/>
        <v>100</v>
      </c>
      <c r="C15" s="2">
        <f t="shared" ca="1" si="3"/>
        <v>144.74830697275743</v>
      </c>
      <c r="D15" s="2">
        <f t="shared" ca="1" si="1"/>
        <v>0</v>
      </c>
      <c r="E15" s="2">
        <f t="shared" ca="1" si="2"/>
        <v>0</v>
      </c>
    </row>
    <row r="16" spans="1:5" x14ac:dyDescent="0.35">
      <c r="A16" s="2" t="s">
        <v>11</v>
      </c>
      <c r="B16" s="2">
        <f t="shared" si="0"/>
        <v>100</v>
      </c>
      <c r="C16" s="2">
        <f t="shared" ca="1" si="3"/>
        <v>74.115677126237117</v>
      </c>
      <c r="D16" s="2">
        <f t="shared" ca="1" si="1"/>
        <v>25.884322873762883</v>
      </c>
      <c r="E16" s="2">
        <f t="shared" ca="1" si="2"/>
        <v>23.421103876704734</v>
      </c>
    </row>
    <row r="17" spans="1:5" x14ac:dyDescent="0.35">
      <c r="A17" s="2" t="s">
        <v>12</v>
      </c>
      <c r="B17" s="2">
        <f t="shared" si="0"/>
        <v>100</v>
      </c>
      <c r="C17" s="2">
        <f t="shared" ca="1" si="3"/>
        <v>69.398414202384004</v>
      </c>
      <c r="D17" s="2">
        <f t="shared" ca="1" si="1"/>
        <v>30.601585797615996</v>
      </c>
      <c r="E17" s="2">
        <f t="shared" ca="1" si="2"/>
        <v>27.689459880920747</v>
      </c>
    </row>
    <row r="18" spans="1:5" x14ac:dyDescent="0.35">
      <c r="A18" s="2" t="s">
        <v>13</v>
      </c>
      <c r="B18" s="2">
        <f t="shared" si="0"/>
        <v>100</v>
      </c>
      <c r="C18" s="2">
        <f t="shared" ca="1" si="3"/>
        <v>79.093512249867743</v>
      </c>
      <c r="D18" s="2">
        <f t="shared" ca="1" si="1"/>
        <v>20.906487750132257</v>
      </c>
      <c r="E18" s="2">
        <f t="shared" ca="1" si="2"/>
        <v>18.916972396030086</v>
      </c>
    </row>
    <row r="19" spans="1:5" x14ac:dyDescent="0.35">
      <c r="A19" s="2" t="s">
        <v>17</v>
      </c>
      <c r="B19" s="2">
        <f t="shared" si="0"/>
        <v>100</v>
      </c>
      <c r="C19" s="2">
        <f t="shared" ca="1" si="3"/>
        <v>93.421655263642918</v>
      </c>
      <c r="D19" s="2">
        <f t="shared" ca="1" si="1"/>
        <v>6.5783447363570815</v>
      </c>
      <c r="E19" s="2">
        <f t="shared" ca="1" si="2"/>
        <v>5.9523324661957862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69BF-C281-46B8-85A7-228A9C234483}">
  <dimension ref="A1:J26"/>
  <sheetViews>
    <sheetView workbookViewId="0">
      <selection activeCell="C1" sqref="C1"/>
    </sheetView>
  </sheetViews>
  <sheetFormatPr baseColWidth="10" defaultRowHeight="14.5" x14ac:dyDescent="0.35"/>
  <cols>
    <col min="1" max="1" width="25.26953125" bestFit="1" customWidth="1"/>
    <col min="10" max="10" width="20.08984375" bestFit="1" customWidth="1"/>
  </cols>
  <sheetData>
    <row r="1" spans="1:10" x14ac:dyDescent="0.35">
      <c r="A1" s="1" t="s">
        <v>18</v>
      </c>
      <c r="B1" s="1">
        <v>0.02</v>
      </c>
    </row>
    <row r="2" spans="1:10" x14ac:dyDescent="0.35">
      <c r="A2" s="1" t="s">
        <v>1</v>
      </c>
      <c r="B2" s="1">
        <v>0.2</v>
      </c>
    </row>
    <row r="3" spans="1:10" x14ac:dyDescent="0.35">
      <c r="A3" s="1" t="s">
        <v>2</v>
      </c>
      <c r="B3" s="1">
        <v>100</v>
      </c>
    </row>
    <row r="4" spans="1:10" x14ac:dyDescent="0.35">
      <c r="A4" s="1" t="s">
        <v>25</v>
      </c>
      <c r="B4" s="1">
        <v>1</v>
      </c>
    </row>
    <row r="5" spans="1:10" x14ac:dyDescent="0.35">
      <c r="A5" s="1" t="s">
        <v>3</v>
      </c>
      <c r="B5" s="1">
        <v>5</v>
      </c>
    </row>
    <row r="6" spans="1:10" x14ac:dyDescent="0.35">
      <c r="A6" s="1" t="s">
        <v>4</v>
      </c>
      <c r="B6" s="1">
        <v>100</v>
      </c>
    </row>
    <row r="7" spans="1:10" x14ac:dyDescent="0.35">
      <c r="A7" s="3" t="s">
        <v>22</v>
      </c>
      <c r="B7" s="2">
        <f>EXP($B$2*SQRT($B$4))</f>
        <v>1.2214027581601699</v>
      </c>
    </row>
    <row r="8" spans="1:10" x14ac:dyDescent="0.35">
      <c r="A8" s="3" t="s">
        <v>23</v>
      </c>
      <c r="B8" s="2">
        <f>EXP(-$B$2*SQRT($B$4))</f>
        <v>0.81873075307798182</v>
      </c>
    </row>
    <row r="9" spans="1:10" x14ac:dyDescent="0.35">
      <c r="A9" s="3" t="s">
        <v>24</v>
      </c>
      <c r="B9" s="2">
        <f>(EXP($B$1*$B$4) - $B$8)/($B$7-$B$8)</f>
        <v>0.50033422836944541</v>
      </c>
    </row>
    <row r="10" spans="1:10" x14ac:dyDescent="0.35">
      <c r="A10" s="3" t="s">
        <v>35</v>
      </c>
      <c r="B10" s="2">
        <f>1-$B$9</f>
        <v>0.49966577163055459</v>
      </c>
    </row>
    <row r="11" spans="1:10" x14ac:dyDescent="0.35">
      <c r="A11" s="1" t="s">
        <v>33</v>
      </c>
      <c r="B11" s="2">
        <f>$J$16 * $H$16 + $J$18 * $H$18 + $J$20 * $H$20 + $J$22 * $H$22 + $J$24 * $H$24 + $J$26 * $H$26</f>
        <v>13.314135459567606</v>
      </c>
    </row>
    <row r="13" spans="1:10" x14ac:dyDescent="0.35">
      <c r="B13" s="4" t="s">
        <v>32</v>
      </c>
      <c r="C13" s="4"/>
      <c r="D13" s="4"/>
      <c r="E13" s="4"/>
      <c r="F13" s="4"/>
      <c r="G13" s="4"/>
    </row>
    <row r="14" spans="1:10" x14ac:dyDescent="0.35">
      <c r="B14" s="1" t="s">
        <v>26</v>
      </c>
      <c r="C14" s="2" t="s">
        <v>27</v>
      </c>
      <c r="D14" s="2" t="s">
        <v>28</v>
      </c>
      <c r="E14" s="2" t="s">
        <v>29</v>
      </c>
      <c r="F14" s="2" t="s">
        <v>30</v>
      </c>
      <c r="G14" s="2" t="s">
        <v>31</v>
      </c>
      <c r="H14" s="5" t="s">
        <v>34</v>
      </c>
      <c r="I14" s="2" t="s">
        <v>16</v>
      </c>
      <c r="J14" s="2" t="s">
        <v>19</v>
      </c>
    </row>
    <row r="16" spans="1:10" x14ac:dyDescent="0.35">
      <c r="G16">
        <f>$B$3*POWER($B$7,5)</f>
        <v>271.82818284590456</v>
      </c>
      <c r="H16">
        <f>BINOMDIST(0,5,$B$9,FALSE)</f>
        <v>3.1145693176992714E-2</v>
      </c>
      <c r="I16">
        <f>MAX($B$6-$G$16,0)</f>
        <v>0</v>
      </c>
      <c r="J16">
        <f>$I$16 * EXP(-$B$1 * $B$5)</f>
        <v>0</v>
      </c>
    </row>
    <row r="17" spans="2:10" x14ac:dyDescent="0.35">
      <c r="F17">
        <f>$B$3*POWER($B$7,4)</f>
        <v>222.55409284924679</v>
      </c>
    </row>
    <row r="18" spans="2:10" x14ac:dyDescent="0.35">
      <c r="E18">
        <f>$B$3*POWER($B$7,3)</f>
        <v>182.21188003905093</v>
      </c>
      <c r="G18">
        <f>$B$3*POWER($B$7,4) * $B$8</f>
        <v>182.2118800390509</v>
      </c>
      <c r="H18">
        <f>BINOMDIST(1,5,$B$9,FALSE)</f>
        <v>0.15593680063264542</v>
      </c>
      <c r="I18">
        <f>MAX($B$6-$G$18,0)</f>
        <v>0</v>
      </c>
      <c r="J18">
        <f>$I$18 * EXP(-$B$1 * $B$5)</f>
        <v>0</v>
      </c>
    </row>
    <row r="19" spans="2:10" x14ac:dyDescent="0.35">
      <c r="D19">
        <f>$B$3*POWER($B$7,2)</f>
        <v>149.18246976412703</v>
      </c>
      <c r="F19">
        <f>$B$3*POWER($B$7,3) * $B$8</f>
        <v>149.18246976412703</v>
      </c>
    </row>
    <row r="20" spans="2:10" x14ac:dyDescent="0.35">
      <c r="C20">
        <f>$B$3*$B$7</f>
        <v>122.14027581601698</v>
      </c>
      <c r="E20">
        <f>$B$3*POWER($B$7,2) * $B$8</f>
        <v>122.14027581601698</v>
      </c>
      <c r="G20">
        <f>$B$3*POWER($B$7,3) * POWER($B$8,2)</f>
        <v>122.14027581601698</v>
      </c>
      <c r="H20">
        <f>BINOMDIST(2,5,$B$9,FALSE)</f>
        <v>0.31229082818433246</v>
      </c>
      <c r="I20">
        <f>MAX($B$6-$G$20,0)</f>
        <v>0</v>
      </c>
      <c r="J20">
        <f>$I$20 * EXP(-$B$1 * $B$5)</f>
        <v>0</v>
      </c>
    </row>
    <row r="21" spans="2:10" x14ac:dyDescent="0.35">
      <c r="B21">
        <f>$B$3</f>
        <v>100</v>
      </c>
      <c r="D21">
        <f>$B$3*$B$7 * $B$8</f>
        <v>100</v>
      </c>
      <c r="F21">
        <f>$B$3*POWER($B$7,2) * POWER($B$8,2)</f>
        <v>99.999999999999986</v>
      </c>
    </row>
    <row r="22" spans="2:10" x14ac:dyDescent="0.35">
      <c r="C22">
        <f>$B$3*$B$8</f>
        <v>81.873075307798189</v>
      </c>
      <c r="E22">
        <f>$B$3*POWER($B$7,1) * POWER($B$8,2)</f>
        <v>81.873075307798175</v>
      </c>
      <c r="G22">
        <f>$B$3*POWER($B$7,2) * POWER($B$8,3)</f>
        <v>81.873075307798175</v>
      </c>
      <c r="H22">
        <f>BINOMDIST(3,5,$B$9,FALSE)</f>
        <v>0.31270861327277755</v>
      </c>
      <c r="I22">
        <f>MAX($B$6-$G$22,0)</f>
        <v>18.126924692201825</v>
      </c>
      <c r="J22">
        <f>$I$22 * EXP(-$B$1 * $B$5)</f>
        <v>16.40191973542418</v>
      </c>
    </row>
    <row r="23" spans="2:10" x14ac:dyDescent="0.35">
      <c r="D23">
        <f>$B$3*POWER($B$8,2)</f>
        <v>67.032004603563919</v>
      </c>
      <c r="F23">
        <f>$B$3*POWER($B$7,1) * POWER($B$8,3)</f>
        <v>67.032004603563919</v>
      </c>
    </row>
    <row r="24" spans="2:10" x14ac:dyDescent="0.35">
      <c r="E24">
        <f>$B$3*POWER($B$8,3)</f>
        <v>54.881163609402641</v>
      </c>
      <c r="G24">
        <f>$B$3*POWER($B$7,1) * POWER($B$8,4)</f>
        <v>54.881163609402627</v>
      </c>
      <c r="H24">
        <f>BINOMDIST(4,5,$B$9,FALSE)</f>
        <v>0.15656347863867465</v>
      </c>
      <c r="I24">
        <f>MAX($B$6-$G$24,0)</f>
        <v>45.118836390597373</v>
      </c>
      <c r="J24">
        <f>$I$24 * EXP(-$B$1 * $B$5)</f>
        <v>40.82521142445502</v>
      </c>
    </row>
    <row r="25" spans="2:10" x14ac:dyDescent="0.35">
      <c r="F25">
        <f>$B$3 * POWER($B$8,4)</f>
        <v>44.932896411722147</v>
      </c>
    </row>
    <row r="26" spans="2:10" x14ac:dyDescent="0.35">
      <c r="G26">
        <f>$B$3* POWER($B$8,5)</f>
        <v>36.787944117144214</v>
      </c>
      <c r="H26">
        <f>BINOMDIST(5,5,$B$9,FALSE)</f>
        <v>3.1354586094577017E-2</v>
      </c>
      <c r="I26">
        <f>MAX($B$6-$G$26,0)</f>
        <v>63.212055882855786</v>
      </c>
      <c r="J26">
        <f>$I$26 * EXP(-$B$1 * $B$5)</f>
        <v>57.196633433788016</v>
      </c>
    </row>
  </sheetData>
  <mergeCells count="1">
    <mergeCell ref="B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74EA-1404-4E8A-A070-E0767713E4C2}">
  <dimension ref="A1:B8"/>
  <sheetViews>
    <sheetView workbookViewId="0">
      <selection activeCell="B8" sqref="B8"/>
    </sheetView>
  </sheetViews>
  <sheetFormatPr baseColWidth="10" defaultRowHeight="14.5" x14ac:dyDescent="0.35"/>
  <cols>
    <col min="1" max="1" width="25" bestFit="1" customWidth="1"/>
  </cols>
  <sheetData>
    <row r="1" spans="1:2" x14ac:dyDescent="0.35">
      <c r="A1" s="1" t="s">
        <v>18</v>
      </c>
      <c r="B1" s="1">
        <v>0.02</v>
      </c>
    </row>
    <row r="2" spans="1:2" x14ac:dyDescent="0.35">
      <c r="A2" s="1" t="s">
        <v>1</v>
      </c>
      <c r="B2" s="1">
        <v>0.2</v>
      </c>
    </row>
    <row r="3" spans="1:2" x14ac:dyDescent="0.35">
      <c r="A3" s="1" t="s">
        <v>2</v>
      </c>
      <c r="B3" s="1">
        <v>100</v>
      </c>
    </row>
    <row r="4" spans="1:2" x14ac:dyDescent="0.35">
      <c r="A4" s="1" t="s">
        <v>3</v>
      </c>
      <c r="B4" s="1">
        <v>5</v>
      </c>
    </row>
    <row r="5" spans="1:2" x14ac:dyDescent="0.35">
      <c r="A5" s="1" t="s">
        <v>4</v>
      </c>
      <c r="B5" s="1">
        <v>100</v>
      </c>
    </row>
    <row r="6" spans="1:2" x14ac:dyDescent="0.35">
      <c r="A6" s="3" t="s">
        <v>37</v>
      </c>
      <c r="B6" s="2">
        <f>(LN($B$3/$B$5)+($B$1+0.5*$B$2*$B$2)*$B$4)/($B$2 * SQRT($B$4))</f>
        <v>0.44721359549995798</v>
      </c>
    </row>
    <row r="7" spans="1:2" x14ac:dyDescent="0.35">
      <c r="A7" s="3" t="s">
        <v>38</v>
      </c>
      <c r="B7" s="2">
        <f>$B$6-($B$2* SQRT($B$4))</f>
        <v>0</v>
      </c>
    </row>
    <row r="8" spans="1:2" x14ac:dyDescent="0.35">
      <c r="A8" s="3" t="s">
        <v>39</v>
      </c>
      <c r="B8" s="2">
        <f>$B$5 * EXP(-$B$1 * $B$4) * _xlfn.NORM.S.DIST(-$B$7,TRUE) - $B$3 * _xlfn.NORM.S.DIST(-$B$6,TRUE)</f>
        <v>12.50582860086913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426E-1170-4BBE-A077-6265AF06791B}">
  <dimension ref="A1:E19"/>
  <sheetViews>
    <sheetView tabSelected="1" workbookViewId="0">
      <selection activeCell="B10" sqref="B10"/>
    </sheetView>
  </sheetViews>
  <sheetFormatPr baseColWidth="10" defaultRowHeight="14.5" x14ac:dyDescent="0.35"/>
  <cols>
    <col min="1" max="1" width="32.6328125" bestFit="1" customWidth="1"/>
    <col min="5" max="5" width="20.08984375" bestFit="1" customWidth="1"/>
  </cols>
  <sheetData>
    <row r="1" spans="1:5" x14ac:dyDescent="0.35">
      <c r="A1" s="1" t="s">
        <v>0</v>
      </c>
      <c r="B1" s="1">
        <v>10</v>
      </c>
    </row>
    <row r="2" spans="1:5" x14ac:dyDescent="0.35">
      <c r="A2" s="1" t="s">
        <v>18</v>
      </c>
      <c r="B2" s="1">
        <v>0.02</v>
      </c>
    </row>
    <row r="3" spans="1:5" x14ac:dyDescent="0.35">
      <c r="A3" s="1" t="s">
        <v>1</v>
      </c>
      <c r="B3" s="1">
        <v>0.2</v>
      </c>
    </row>
    <row r="4" spans="1:5" x14ac:dyDescent="0.35">
      <c r="A4" s="1" t="s">
        <v>2</v>
      </c>
      <c r="B4" s="1">
        <v>100</v>
      </c>
    </row>
    <row r="5" spans="1:5" x14ac:dyDescent="0.35">
      <c r="A5" s="1" t="s">
        <v>3</v>
      </c>
      <c r="B5" s="1">
        <v>5</v>
      </c>
    </row>
    <row r="6" spans="1:5" x14ac:dyDescent="0.35">
      <c r="A6" s="1" t="s">
        <v>4</v>
      </c>
      <c r="B6" s="1">
        <v>100</v>
      </c>
    </row>
    <row r="7" spans="1:5" x14ac:dyDescent="0.35">
      <c r="A7" s="1" t="s">
        <v>21</v>
      </c>
      <c r="B7" s="1">
        <f ca="1">AVERAGE(E10:E19)</f>
        <v>12.660838665882485</v>
      </c>
    </row>
    <row r="9" spans="1:5" x14ac:dyDescent="0.35">
      <c r="B9" s="2" t="s">
        <v>14</v>
      </c>
      <c r="C9" s="2" t="s">
        <v>15</v>
      </c>
      <c r="D9" s="2" t="s">
        <v>16</v>
      </c>
      <c r="E9" s="2" t="s">
        <v>19</v>
      </c>
    </row>
    <row r="10" spans="1:5" x14ac:dyDescent="0.35">
      <c r="A10" s="2" t="s">
        <v>5</v>
      </c>
      <c r="B10" s="2">
        <f>$B$4</f>
        <v>100</v>
      </c>
      <c r="C10" s="2">
        <f ca="1">B10 * EXP(($B$2- 0.5 * $B$3 * $B$3) * $B$5 + $B$3 * SQRT($B$5) * _xlfn.NORM.S.INV(RAND()))</f>
        <v>164.69561974718781</v>
      </c>
      <c r="D10" s="2">
        <f ca="1">MAX(C10-$B$6,0)</f>
        <v>64.695619747187806</v>
      </c>
      <c r="E10" s="2">
        <f ca="1">D10 * EXP(-$B$2 * $B$5)</f>
        <v>58.539017530281647</v>
      </c>
    </row>
    <row r="11" spans="1:5" x14ac:dyDescent="0.35">
      <c r="A11" s="2" t="s">
        <v>6</v>
      </c>
      <c r="B11" s="2">
        <f t="shared" ref="B11:B19" si="0">$B$4</f>
        <v>100</v>
      </c>
      <c r="C11" s="2">
        <f ca="1">B11 * EXP(($B$2- 0.5 * $B$3 * $B$3) * $B$5 + $B$3 * SQRT($B$5) * _xlfn.NORM.S.INV(RAND()))</f>
        <v>84.537159084553736</v>
      </c>
      <c r="D11" s="2">
        <f t="shared" ref="D11:D19" ca="1" si="1">MAX(C11-$B$6,0)</f>
        <v>0</v>
      </c>
      <c r="E11" s="2">
        <f t="shared" ref="E11:E19" ca="1" si="2">D11 * EXP(-$B$2 * $B$5)</f>
        <v>0</v>
      </c>
    </row>
    <row r="12" spans="1:5" x14ac:dyDescent="0.35">
      <c r="A12" s="2" t="s">
        <v>7</v>
      </c>
      <c r="B12" s="2">
        <f t="shared" si="0"/>
        <v>100</v>
      </c>
      <c r="C12" s="2">
        <f ca="1">B12 * EXP(($B$2- 0.5 * $B$3 * $B$3) * $B$5 + $B$3 * SQRT($B$5) * _xlfn.NORM.S.INV(RAND()))</f>
        <v>83.884682586654904</v>
      </c>
      <c r="D12" s="2">
        <f t="shared" ca="1" si="1"/>
        <v>0</v>
      </c>
      <c r="E12" s="2">
        <f t="shared" ca="1" si="2"/>
        <v>0</v>
      </c>
    </row>
    <row r="13" spans="1:5" x14ac:dyDescent="0.35">
      <c r="A13" s="2" t="s">
        <v>8</v>
      </c>
      <c r="B13" s="2">
        <f t="shared" si="0"/>
        <v>100</v>
      </c>
      <c r="C13" s="2">
        <f ca="1">B13 * EXP(($B$2- 0.5 * $B$3 * $B$3) * $B$5 + $B$3 * SQRT($B$5) * _xlfn.NORM.S.INV(RAND()))</f>
        <v>101.13493511432381</v>
      </c>
      <c r="D13" s="2">
        <f t="shared" ca="1" si="1"/>
        <v>1.1349351143238096</v>
      </c>
      <c r="E13" s="2">
        <f t="shared" ca="1" si="2"/>
        <v>1.0269317584831024</v>
      </c>
    </row>
    <row r="14" spans="1:5" x14ac:dyDescent="0.35">
      <c r="A14" s="2" t="s">
        <v>9</v>
      </c>
      <c r="B14" s="2">
        <f t="shared" si="0"/>
        <v>100</v>
      </c>
      <c r="C14" s="2">
        <f t="shared" ref="C14:C19" ca="1" si="3">B14 * EXP(($B$2- 0.5 * $B$3 * $B$3) * $B$5 + $B$3 * SQRT($B$5) * _xlfn.NORM.S.INV(RAND()))</f>
        <v>100.71362472555639</v>
      </c>
      <c r="D14" s="2">
        <f t="shared" ca="1" si="1"/>
        <v>0.7136247255563859</v>
      </c>
      <c r="E14" s="2">
        <f t="shared" ca="1" si="2"/>
        <v>0.64571435411906042</v>
      </c>
    </row>
    <row r="15" spans="1:5" x14ac:dyDescent="0.35">
      <c r="A15" s="2" t="s">
        <v>10</v>
      </c>
      <c r="B15" s="2">
        <f t="shared" si="0"/>
        <v>100</v>
      </c>
      <c r="C15" s="2">
        <f t="shared" ca="1" si="3"/>
        <v>134.60752525615024</v>
      </c>
      <c r="D15" s="2">
        <f t="shared" ca="1" si="1"/>
        <v>34.60752525615024</v>
      </c>
      <c r="E15" s="2">
        <f t="shared" ca="1" si="2"/>
        <v>31.314183797389241</v>
      </c>
    </row>
    <row r="16" spans="1:5" x14ac:dyDescent="0.35">
      <c r="A16" s="2" t="s">
        <v>11</v>
      </c>
      <c r="B16" s="2">
        <f t="shared" si="0"/>
        <v>100</v>
      </c>
      <c r="C16" s="2">
        <f t="shared" ca="1" si="3"/>
        <v>138.57339197392676</v>
      </c>
      <c r="D16" s="2">
        <f t="shared" ca="1" si="1"/>
        <v>38.573391973926761</v>
      </c>
      <c r="E16" s="2">
        <f t="shared" ca="1" si="2"/>
        <v>34.902648398576893</v>
      </c>
    </row>
    <row r="17" spans="1:5" x14ac:dyDescent="0.35">
      <c r="A17" s="2" t="s">
        <v>12</v>
      </c>
      <c r="B17" s="2">
        <f t="shared" si="0"/>
        <v>100</v>
      </c>
      <c r="C17" s="2">
        <f t="shared" ca="1" si="3"/>
        <v>85.292276102897461</v>
      </c>
      <c r="D17" s="2">
        <f t="shared" ca="1" si="1"/>
        <v>0</v>
      </c>
      <c r="E17" s="2">
        <f t="shared" ca="1" si="2"/>
        <v>0</v>
      </c>
    </row>
    <row r="18" spans="1:5" x14ac:dyDescent="0.35">
      <c r="A18" s="2" t="s">
        <v>13</v>
      </c>
      <c r="B18" s="2">
        <f t="shared" si="0"/>
        <v>100</v>
      </c>
      <c r="C18" s="2">
        <f t="shared" ca="1" si="3"/>
        <v>100.19881010266505</v>
      </c>
      <c r="D18" s="2">
        <f t="shared" ca="1" si="1"/>
        <v>0.19881010266504973</v>
      </c>
      <c r="E18" s="2">
        <f t="shared" ca="1" si="2"/>
        <v>0.17989081997490763</v>
      </c>
    </row>
    <row r="19" spans="1:5" x14ac:dyDescent="0.35">
      <c r="A19" s="2" t="s">
        <v>17</v>
      </c>
      <c r="B19" s="2">
        <f t="shared" si="0"/>
        <v>100</v>
      </c>
      <c r="C19" s="2">
        <f t="shared" ca="1" si="3"/>
        <v>73.119076662168837</v>
      </c>
      <c r="D19" s="2">
        <f t="shared" ca="1" si="1"/>
        <v>0</v>
      </c>
      <c r="E19" s="2">
        <f t="shared" ca="1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8C61-61A1-465A-AC10-64AE62143EAA}">
  <dimension ref="A1:J26"/>
  <sheetViews>
    <sheetView workbookViewId="0"/>
  </sheetViews>
  <sheetFormatPr baseColWidth="10" defaultRowHeight="14.5" x14ac:dyDescent="0.35"/>
  <cols>
    <col min="1" max="1" width="25.26953125" bestFit="1" customWidth="1"/>
  </cols>
  <sheetData>
    <row r="1" spans="1:10" x14ac:dyDescent="0.35">
      <c r="A1" s="1" t="s">
        <v>18</v>
      </c>
      <c r="B1" s="1">
        <v>0.02</v>
      </c>
    </row>
    <row r="2" spans="1:10" x14ac:dyDescent="0.35">
      <c r="A2" s="1" t="s">
        <v>1</v>
      </c>
      <c r="B2" s="1">
        <v>0.2</v>
      </c>
    </row>
    <row r="3" spans="1:10" x14ac:dyDescent="0.35">
      <c r="A3" s="1" t="s">
        <v>2</v>
      </c>
      <c r="B3" s="1">
        <v>100</v>
      </c>
    </row>
    <row r="4" spans="1:10" x14ac:dyDescent="0.35">
      <c r="A4" s="1" t="s">
        <v>25</v>
      </c>
      <c r="B4" s="1">
        <v>1</v>
      </c>
    </row>
    <row r="5" spans="1:10" x14ac:dyDescent="0.35">
      <c r="A5" s="1" t="s">
        <v>3</v>
      </c>
      <c r="B5" s="1">
        <v>5</v>
      </c>
    </row>
    <row r="6" spans="1:10" x14ac:dyDescent="0.35">
      <c r="A6" s="1" t="s">
        <v>4</v>
      </c>
      <c r="B6" s="1">
        <v>100</v>
      </c>
    </row>
    <row r="7" spans="1:10" x14ac:dyDescent="0.35">
      <c r="A7" s="3" t="s">
        <v>22</v>
      </c>
      <c r="B7" s="2">
        <f>EXP($B$2*SQRT($B$4))</f>
        <v>1.2214027581601699</v>
      </c>
    </row>
    <row r="8" spans="1:10" x14ac:dyDescent="0.35">
      <c r="A8" s="3" t="s">
        <v>23</v>
      </c>
      <c r="B8" s="2">
        <f>EXP(-$B$2*SQRT($B$4))</f>
        <v>0.81873075307798182</v>
      </c>
    </row>
    <row r="9" spans="1:10" x14ac:dyDescent="0.35">
      <c r="A9" s="3" t="s">
        <v>24</v>
      </c>
      <c r="B9" s="2">
        <f>(EXP($B$1*$B$4) - $B$8)/($B$7-$B$8)</f>
        <v>0.50033422836944541</v>
      </c>
    </row>
    <row r="10" spans="1:10" x14ac:dyDescent="0.35">
      <c r="A10" s="3" t="s">
        <v>35</v>
      </c>
      <c r="B10" s="2">
        <f>1-$B$9</f>
        <v>0.49966577163055459</v>
      </c>
    </row>
    <row r="11" spans="1:10" x14ac:dyDescent="0.35">
      <c r="A11" s="1" t="s">
        <v>36</v>
      </c>
      <c r="B11" s="2">
        <f>$J$16 * $H$16 + $J$18 * $H$18 + $J$20 * $H$20 + $J$22 * $H$22 + $J$24 * $H$24 + $J$26 * $H$26</f>
        <v>22.698543790725758</v>
      </c>
    </row>
    <row r="13" spans="1:10" x14ac:dyDescent="0.35">
      <c r="B13" s="4" t="s">
        <v>32</v>
      </c>
      <c r="C13" s="4"/>
      <c r="D13" s="4"/>
      <c r="E13" s="4"/>
      <c r="F13" s="4"/>
      <c r="G13" s="4"/>
    </row>
    <row r="14" spans="1:10" x14ac:dyDescent="0.35">
      <c r="B14" s="1" t="s">
        <v>26</v>
      </c>
      <c r="C14" s="2" t="s">
        <v>27</v>
      </c>
      <c r="D14" s="2" t="s">
        <v>28</v>
      </c>
      <c r="E14" s="2" t="s">
        <v>29</v>
      </c>
      <c r="F14" s="2" t="s">
        <v>30</v>
      </c>
      <c r="G14" s="2" t="s">
        <v>31</v>
      </c>
      <c r="H14" s="5" t="s">
        <v>34</v>
      </c>
      <c r="I14" s="2" t="s">
        <v>16</v>
      </c>
      <c r="J14" s="2" t="s">
        <v>19</v>
      </c>
    </row>
    <row r="16" spans="1:10" x14ac:dyDescent="0.35">
      <c r="G16">
        <f>$B$3*POWER($B$7,5)</f>
        <v>271.82818284590456</v>
      </c>
      <c r="H16">
        <f>BINOMDIST(0,5,$B$9,FALSE)</f>
        <v>3.1145693176992714E-2</v>
      </c>
      <c r="I16">
        <f>MAX($G$16-$B$6,0)</f>
        <v>171.82818284590456</v>
      </c>
      <c r="J16">
        <f>$I$16 * EXP(-$B$1 * $B$5)</f>
        <v>155.47656931209903</v>
      </c>
    </row>
    <row r="17" spans="2:10" x14ac:dyDescent="0.35">
      <c r="F17">
        <f>$B$3*POWER($B$7,4)</f>
        <v>222.55409284924679</v>
      </c>
    </row>
    <row r="18" spans="2:10" x14ac:dyDescent="0.35">
      <c r="E18">
        <f>$B$3*POWER($B$7,3)</f>
        <v>182.21188003905093</v>
      </c>
      <c r="G18">
        <f>$B$3*POWER($B$7,4) * $B$8</f>
        <v>182.2118800390509</v>
      </c>
      <c r="H18">
        <f>BINOMDIST(1,5,$B$9,FALSE)</f>
        <v>0.15593680063264542</v>
      </c>
      <c r="I18">
        <f>MAX($G$18-$B$6,0)</f>
        <v>82.211880039050897</v>
      </c>
      <c r="J18">
        <f>$I$18 * EXP(-$B$1 * $B$5)</f>
        <v>74.388385266416847</v>
      </c>
    </row>
    <row r="19" spans="2:10" x14ac:dyDescent="0.35">
      <c r="D19">
        <f>$B$3*POWER($B$7,2)</f>
        <v>149.18246976412703</v>
      </c>
      <c r="F19">
        <f>$B$3*POWER($B$7,3) * $B$8</f>
        <v>149.18246976412703</v>
      </c>
    </row>
    <row r="20" spans="2:10" x14ac:dyDescent="0.35">
      <c r="C20">
        <f>$B$3*$B$7</f>
        <v>122.14027581601698</v>
      </c>
      <c r="E20">
        <f>$B$3*POWER($B$7,2) * $B$8</f>
        <v>122.14027581601698</v>
      </c>
      <c r="G20">
        <f>$B$3*POWER($B$7,3) * POWER($B$8,2)</f>
        <v>122.14027581601698</v>
      </c>
      <c r="H20">
        <f>BINOMDIST(2,5,$B$9,FALSE)</f>
        <v>0.31229082818433246</v>
      </c>
      <c r="I20">
        <f>MAX($G$20-$B$6,0)</f>
        <v>22.140275816016981</v>
      </c>
      <c r="J20">
        <f>$I$20 * EXP(-$B$1 * $B$5)</f>
        <v>20.033350003968803</v>
      </c>
    </row>
    <row r="21" spans="2:10" x14ac:dyDescent="0.35">
      <c r="B21">
        <f>$B$3</f>
        <v>100</v>
      </c>
      <c r="D21">
        <f>$B$3*$B$7 * $B$8</f>
        <v>100</v>
      </c>
      <c r="F21">
        <f>$B$3*POWER($B$7,2) * POWER($B$8,2)</f>
        <v>99.999999999999986</v>
      </c>
    </row>
    <row r="22" spans="2:10" x14ac:dyDescent="0.35">
      <c r="C22">
        <f>$B$3*$B$8</f>
        <v>81.873075307798189</v>
      </c>
      <c r="E22">
        <f>$B$3*POWER($B$7,1) * POWER($B$8,2)</f>
        <v>81.873075307798175</v>
      </c>
      <c r="G22">
        <f>$B$3*POWER($B$7,2) * POWER($B$8,3)</f>
        <v>81.873075307798175</v>
      </c>
      <c r="H22">
        <f>BINOMDIST(3,5,$B$9,FALSE)</f>
        <v>0.31270861327277755</v>
      </c>
      <c r="I22">
        <f>MAX($G$22-$B$6,0)</f>
        <v>0</v>
      </c>
      <c r="J22">
        <f>$I$22 * EXP(-$B$1 * $B$5)</f>
        <v>0</v>
      </c>
    </row>
    <row r="23" spans="2:10" x14ac:dyDescent="0.35">
      <c r="D23">
        <f>$B$3*POWER($B$8,2)</f>
        <v>67.032004603563919</v>
      </c>
      <c r="F23">
        <f>$B$3*POWER($B$7,1) * POWER($B$8,3)</f>
        <v>67.032004603563919</v>
      </c>
    </row>
    <row r="24" spans="2:10" x14ac:dyDescent="0.35">
      <c r="E24">
        <f>$B$3*POWER($B$8,3)</f>
        <v>54.881163609402641</v>
      </c>
      <c r="G24">
        <f>$B$3*POWER($B$7,1) * POWER($B$8,4)</f>
        <v>54.881163609402627</v>
      </c>
      <c r="H24">
        <f>BINOMDIST(4,5,$B$9,FALSE)</f>
        <v>0.15656347863867465</v>
      </c>
      <c r="I24">
        <f>MAX($G$24-$B$6,0)</f>
        <v>0</v>
      </c>
      <c r="J24">
        <f>$I$24 * EXP(-$B$1 * $B$5)</f>
        <v>0</v>
      </c>
    </row>
    <row r="25" spans="2:10" x14ac:dyDescent="0.35">
      <c r="F25">
        <f>$B$3 * POWER($B$8,4)</f>
        <v>44.932896411722147</v>
      </c>
    </row>
    <row r="26" spans="2:10" x14ac:dyDescent="0.35">
      <c r="G26">
        <f>$B$3* POWER($B$8,5)</f>
        <v>36.787944117144214</v>
      </c>
      <c r="H26">
        <f>BINOMDIST(5,5,$B$9,FALSE)</f>
        <v>3.1354586094577017E-2</v>
      </c>
      <c r="I26">
        <f>MAX($G$26-$B$6,0)</f>
        <v>0</v>
      </c>
      <c r="J26">
        <f>$I$26 * EXP(-$B$1 * $B$5)</f>
        <v>0</v>
      </c>
    </row>
  </sheetData>
  <mergeCells count="1">
    <mergeCell ref="B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6A85-D40A-42D6-846C-1D82F271EFCF}">
  <dimension ref="A1:B8"/>
  <sheetViews>
    <sheetView workbookViewId="0">
      <selection activeCell="B9" sqref="B9"/>
    </sheetView>
  </sheetViews>
  <sheetFormatPr baseColWidth="10" defaultRowHeight="14.5" x14ac:dyDescent="0.35"/>
  <cols>
    <col min="1" max="1" width="25" bestFit="1" customWidth="1"/>
  </cols>
  <sheetData>
    <row r="1" spans="1:2" x14ac:dyDescent="0.35">
      <c r="A1" s="1" t="s">
        <v>18</v>
      </c>
      <c r="B1" s="1">
        <v>0.02</v>
      </c>
    </row>
    <row r="2" spans="1:2" x14ac:dyDescent="0.35">
      <c r="A2" s="1" t="s">
        <v>1</v>
      </c>
      <c r="B2" s="1">
        <v>0.2</v>
      </c>
    </row>
    <row r="3" spans="1:2" x14ac:dyDescent="0.35">
      <c r="A3" s="1" t="s">
        <v>2</v>
      </c>
      <c r="B3" s="1">
        <v>100</v>
      </c>
    </row>
    <row r="4" spans="1:2" x14ac:dyDescent="0.35">
      <c r="A4" s="1" t="s">
        <v>3</v>
      </c>
      <c r="B4" s="1">
        <v>5</v>
      </c>
    </row>
    <row r="5" spans="1:2" x14ac:dyDescent="0.35">
      <c r="A5" s="1" t="s">
        <v>4</v>
      </c>
      <c r="B5" s="1">
        <v>100</v>
      </c>
    </row>
    <row r="6" spans="1:2" x14ac:dyDescent="0.35">
      <c r="A6" s="3" t="s">
        <v>37</v>
      </c>
      <c r="B6" s="2">
        <f>(LN($B$3/$B$5)+($B$1+0.5*$B$2*$B$2)*$B$4)/($B$2 * SQRT($B$4))</f>
        <v>0.44721359549995798</v>
      </c>
    </row>
    <row r="7" spans="1:2" x14ac:dyDescent="0.35">
      <c r="A7" s="3" t="s">
        <v>38</v>
      </c>
      <c r="B7" s="2">
        <f>$B$6-($B$2* SQRT($B$4))</f>
        <v>0</v>
      </c>
    </row>
    <row r="8" spans="1:2" x14ac:dyDescent="0.35">
      <c r="A8" s="3" t="s">
        <v>40</v>
      </c>
      <c r="B8" s="2">
        <f>$B$3 * _xlfn.NORM.S.DIST($B$6,TRUE) - $B$5 * EXP(-$B$1 *$B$4) *_xlfn.NORM.S.DIST($B$7,TRUE)</f>
        <v>22.022086797273182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Simulations_Put</vt:lpstr>
      <vt:lpstr>Binomial_Tree_Put</vt:lpstr>
      <vt:lpstr>Analytical_Formula_Put</vt:lpstr>
      <vt:lpstr>Simulations_Call</vt:lpstr>
      <vt:lpstr>Binomial_Tree_Call</vt:lpstr>
      <vt:lpstr>Analytical_Formula_Call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Hamel Emmanuel</dc:creator>
  <cp:lastModifiedBy>Hamel Emmanuel</cp:lastModifiedBy>
  <dcterms:created xsi:type="dcterms:W3CDTF">2015-06-05T18:19:34Z</dcterms:created>
  <dcterms:modified xsi:type="dcterms:W3CDTF">2025-10-08T17:47:03Z</dcterms:modified>
</cp:coreProperties>
</file>