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Training\ExcelAdvKIL\Exercise\Data\"/>
    </mc:Choice>
  </mc:AlternateContent>
  <xr:revisionPtr revIDLastSave="0" documentId="13_ncr:1_{5A975B50-B885-49CA-BFCB-59F52B900B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cateFormulas" sheetId="3" r:id="rId1"/>
    <sheet name="AuditingTools" sheetId="2" r:id="rId2"/>
    <sheet name="RemovingBlankRows" sheetId="1" r:id="rId3"/>
  </sheets>
  <definedNames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B36" i="3"/>
  <c r="G36" i="3" s="1"/>
  <c r="E31" i="3"/>
  <c r="B31" i="3"/>
  <c r="G31" i="3" s="1"/>
  <c r="G37" i="3" s="1"/>
  <c r="E25" i="3"/>
  <c r="B25" i="3"/>
  <c r="G25" i="3" s="1"/>
  <c r="L23" i="3"/>
  <c r="E19" i="3"/>
  <c r="B19" i="3"/>
  <c r="G19" i="3" s="1"/>
  <c r="I15" i="3"/>
  <c r="R14" i="3"/>
  <c r="S14" i="3" s="1"/>
  <c r="R13" i="3"/>
  <c r="S13" i="3" s="1"/>
  <c r="I13" i="3"/>
  <c r="S12" i="3"/>
  <c r="I12" i="3"/>
  <c r="S11" i="3"/>
  <c r="S10" i="3"/>
  <c r="L10" i="3"/>
  <c r="L12" i="3" s="1"/>
  <c r="I10" i="3"/>
  <c r="S9" i="3"/>
  <c r="P7" i="3"/>
  <c r="O7" i="3"/>
  <c r="B7" i="3"/>
  <c r="D13" i="3" s="1"/>
  <c r="P6" i="3"/>
  <c r="O6" i="3"/>
  <c r="M6" i="3"/>
  <c r="P5" i="3"/>
  <c r="O5" i="3"/>
  <c r="E5" i="3"/>
  <c r="I8" i="3" s="1"/>
  <c r="P4" i="3"/>
  <c r="I4" i="3"/>
  <c r="P3" i="3"/>
  <c r="M3" i="3"/>
  <c r="I3" i="3"/>
  <c r="P2" i="3"/>
  <c r="R1" i="3"/>
  <c r="G36" i="2"/>
  <c r="E36" i="2"/>
  <c r="B36" i="2"/>
  <c r="E31" i="2"/>
  <c r="B31" i="2"/>
  <c r="G31" i="2" s="1"/>
  <c r="G37" i="2" s="1"/>
  <c r="E25" i="2"/>
  <c r="G25" i="2" s="1"/>
  <c r="B25" i="2"/>
  <c r="G19" i="2"/>
  <c r="G26" i="2" s="1"/>
  <c r="E19" i="2"/>
  <c r="B19" i="2"/>
  <c r="I16" i="2"/>
  <c r="I15" i="2"/>
  <c r="R14" i="2"/>
  <c r="S14" i="2" s="1"/>
  <c r="R13" i="2"/>
  <c r="S13" i="2" s="1"/>
  <c r="I13" i="2"/>
  <c r="D13" i="2"/>
  <c r="L19" i="2" s="1"/>
  <c r="L20" i="2" s="1"/>
  <c r="S12" i="2"/>
  <c r="S11" i="2"/>
  <c r="S10" i="2"/>
  <c r="L10" i="2"/>
  <c r="L12" i="2" s="1"/>
  <c r="I10" i="2"/>
  <c r="B10" i="2"/>
  <c r="S9" i="2"/>
  <c r="I9" i="2"/>
  <c r="P7" i="2"/>
  <c r="O7" i="2"/>
  <c r="O5" i="2" s="1"/>
  <c r="G7" i="2"/>
  <c r="B7" i="2"/>
  <c r="B13" i="2" s="1"/>
  <c r="P6" i="2"/>
  <c r="O6" i="2"/>
  <c r="M6" i="2"/>
  <c r="P5" i="2"/>
  <c r="G5" i="2"/>
  <c r="E5" i="2"/>
  <c r="I8" i="2" s="1"/>
  <c r="P4" i="2"/>
  <c r="I4" i="2"/>
  <c r="P3" i="2"/>
  <c r="M3" i="2"/>
  <c r="I3" i="2"/>
  <c r="P2" i="2"/>
  <c r="R1" i="2"/>
  <c r="L19" i="3" l="1"/>
  <c r="L20" i="3" s="1"/>
  <c r="E13" i="3"/>
  <c r="L24" i="3"/>
  <c r="G26" i="3"/>
  <c r="K27" i="3" s="1"/>
  <c r="G7" i="3"/>
  <c r="I9" i="3"/>
  <c r="I16" i="3"/>
  <c r="I2" i="3"/>
  <c r="E6" i="3"/>
  <c r="J15" i="3" s="1"/>
  <c r="I7" i="3"/>
  <c r="I6" i="3"/>
  <c r="L9" i="3"/>
  <c r="L11" i="3" s="1"/>
  <c r="L27" i="3" s="1"/>
  <c r="I14" i="3"/>
  <c r="F9" i="3"/>
  <c r="F10" i="3" s="1"/>
  <c r="F11" i="3" s="1"/>
  <c r="I11" i="3"/>
  <c r="B13" i="3"/>
  <c r="G5" i="3"/>
  <c r="B10" i="3"/>
  <c r="I5" i="3"/>
  <c r="J9" i="2"/>
  <c r="K27" i="2"/>
  <c r="J4" i="2"/>
  <c r="J10" i="2"/>
  <c r="J8" i="2"/>
  <c r="F9" i="2"/>
  <c r="F10" i="2" s="1"/>
  <c r="F11" i="2" s="1"/>
  <c r="I12" i="2"/>
  <c r="L23" i="2"/>
  <c r="L24" i="2" s="1"/>
  <c r="I2" i="2"/>
  <c r="J2" i="2" s="1"/>
  <c r="E6" i="2"/>
  <c r="J3" i="2" s="1"/>
  <c r="I7" i="2"/>
  <c r="I6" i="2"/>
  <c r="J6" i="2" s="1"/>
  <c r="L9" i="2"/>
  <c r="L11" i="2" s="1"/>
  <c r="L27" i="2" s="1"/>
  <c r="I14" i="2"/>
  <c r="I11" i="2"/>
  <c r="I5" i="2"/>
  <c r="E13" i="2"/>
  <c r="J2" i="3" l="1"/>
  <c r="J13" i="3"/>
  <c r="J11" i="3"/>
  <c r="J16" i="3"/>
  <c r="J10" i="3"/>
  <c r="J9" i="3"/>
  <c r="J4" i="3"/>
  <c r="J14" i="3"/>
  <c r="J12" i="3"/>
  <c r="J5" i="3"/>
  <c r="J6" i="3"/>
  <c r="J8" i="3"/>
  <c r="J3" i="3"/>
  <c r="J7" i="3"/>
  <c r="J7" i="2"/>
  <c r="J16" i="2"/>
  <c r="J15" i="2"/>
  <c r="J5" i="2"/>
  <c r="J13" i="2"/>
  <c r="J11" i="2"/>
  <c r="J12" i="2"/>
  <c r="J14" i="2"/>
</calcChain>
</file>

<file path=xl/sharedStrings.xml><?xml version="1.0" encoding="utf-8"?>
<sst xmlns="http://schemas.openxmlformats.org/spreadsheetml/2006/main" count="264" uniqueCount="95">
  <si>
    <t>Sales First Quarter - by Item</t>
  </si>
  <si>
    <t>Item #</t>
  </si>
  <si>
    <t>31T79</t>
  </si>
  <si>
    <t>32H21</t>
  </si>
  <si>
    <t>61K94</t>
  </si>
  <si>
    <t>16W09</t>
  </si>
  <si>
    <t>17Q30</t>
  </si>
  <si>
    <t>96M37</t>
  </si>
  <si>
    <t>79S93</t>
  </si>
  <si>
    <t>21D08</t>
  </si>
  <si>
    <t>43P25</t>
  </si>
  <si>
    <t>12Y27</t>
  </si>
  <si>
    <t>18Z66</t>
  </si>
  <si>
    <t>74X47</t>
  </si>
  <si>
    <t>Boston</t>
  </si>
  <si>
    <t>New York</t>
  </si>
  <si>
    <t>Atlanta</t>
  </si>
  <si>
    <t>Chicago</t>
  </si>
  <si>
    <t>Houston</t>
  </si>
  <si>
    <t>Denver</t>
  </si>
  <si>
    <t>Albuquerque</t>
  </si>
  <si>
    <t>Dallas</t>
  </si>
  <si>
    <t>Cincinnati</t>
  </si>
  <si>
    <t>LasVegas</t>
  </si>
  <si>
    <t>Los Angeles</t>
  </si>
  <si>
    <t>Seattle</t>
  </si>
  <si>
    <t>Weight / M ?</t>
  </si>
  <si>
    <t xml:space="preserve"> ~
 `</t>
  </si>
  <si>
    <t xml:space="preserve">% </t>
  </si>
  <si>
    <t>FOB</t>
  </si>
  <si>
    <t>C&amp;F</t>
  </si>
  <si>
    <t>Conversions</t>
  </si>
  <si>
    <t>Metric</t>
  </si>
  <si>
    <t>US</t>
  </si>
  <si>
    <t>DiskDrives</t>
  </si>
  <si>
    <t>Length (inches)  ?</t>
  </si>
  <si>
    <t>PRICE</t>
  </si>
  <si>
    <t>USD</t>
  </si>
  <si>
    <t>TL Cx</t>
  </si>
  <si>
    <t>cm</t>
  </si>
  <si>
    <t>in</t>
  </si>
  <si>
    <t>Per pound price</t>
  </si>
  <si>
    <t>Freight ?</t>
  </si>
  <si>
    <t>Cntr cost</t>
  </si>
  <si>
    <t>Freight =</t>
  </si>
  <si>
    <t>Per unit freight cost</t>
  </si>
  <si>
    <t>inches</t>
  </si>
  <si>
    <t xml:space="preserve">Qty per 40' cntr = </t>
  </si>
  <si>
    <t>C&amp;F =</t>
  </si>
  <si>
    <t>Incl. freight</t>
  </si>
  <si>
    <t>StorageSlots</t>
  </si>
  <si>
    <t># of plts ?</t>
  </si>
  <si>
    <t>Load</t>
  </si>
  <si>
    <t>Qty ?</t>
  </si>
  <si>
    <t>Order Information</t>
  </si>
  <si>
    <t>Info</t>
  </si>
  <si>
    <t>TL's</t>
  </si>
  <si>
    <t>Px</t>
  </si>
  <si>
    <t>each</t>
  </si>
  <si>
    <t xml:space="preserve">Pieces / skid = </t>
  </si>
  <si>
    <t>Round</t>
  </si>
  <si>
    <t>Qty</t>
  </si>
  <si>
    <t>pcs</t>
  </si>
  <si>
    <t>Round QTY</t>
  </si>
  <si>
    <t>$ Amt</t>
  </si>
  <si>
    <t>Net</t>
  </si>
  <si>
    <t>Net Wt.</t>
  </si>
  <si>
    <t>Gros Wt.</t>
  </si>
  <si>
    <t>Gross</t>
  </si>
  <si>
    <t>Mixed/combination loads</t>
  </si>
  <si>
    <t>Weight A</t>
  </si>
  <si>
    <t>Weight B</t>
  </si>
  <si>
    <t>Wt/M ?</t>
  </si>
  <si>
    <t>Length ?</t>
  </si>
  <si>
    <t>Weights</t>
  </si>
  <si>
    <t xml:space="preserve">Net = </t>
  </si>
  <si>
    <t>Lbs</t>
  </si>
  <si>
    <t>(A+B)</t>
  </si>
  <si>
    <t>per piece</t>
  </si>
  <si>
    <t>per 1000</t>
  </si>
  <si>
    <t>Weight C</t>
  </si>
  <si>
    <t>Weight D</t>
  </si>
  <si>
    <t>enter pallet qty</t>
  </si>
  <si>
    <t>plts</t>
  </si>
  <si>
    <t>pcs per plt</t>
  </si>
  <si>
    <t>weight per plt</t>
  </si>
  <si>
    <t>(C+D)</t>
  </si>
  <si>
    <t xml:space="preserve">Total wt. </t>
  </si>
  <si>
    <t>Weight E</t>
  </si>
  <si>
    <t>Weight F</t>
  </si>
  <si>
    <t>TOTAL</t>
  </si>
  <si>
    <t>(E+F)</t>
  </si>
  <si>
    <t>Weight G</t>
  </si>
  <si>
    <t>Weight H</t>
  </si>
  <si>
    <t>(G+H)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</si>
</sst>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_);_(* \(#,##0\);_(* &quot;-&quot;??_);_(@_)"/>
    <numFmt numFmtId="167" formatCode="&quot;$&quot;#,##0"/>
    <numFmt numFmtId="168" formatCode="_(&quot;$&quot;* #,##0_);_(&quot;$&quot;* \(#,##0\);_(&quot;$&quot;* &quot;-&quot;??_);_(@_)"/>
    <numFmt numFmtId="169" formatCode="_(&quot;$&quot;* #,##0.0000_);_(&quot;$&quot;* \(#,##0.0000\);_(&quot;$&quot;* &quot;-&quot;??_);_(@_)"/>
    <numFmt numFmtId="170" formatCode="_(* #,##0.000_);_(* \(#,##0.000\);_(* &quot;-&quot;??_);_(@_)"/>
    <numFmt numFmtId="171" formatCode="_(&quot;$&quot;* #,##0.000_);_(&quot;$&quot;* \(#,##0.000\);_(&quot;$&quot;* &quot;-&quot;??_);_(@_)"/>
    <numFmt numFmtId="172" formatCode="0.000"/>
    <numFmt numFmtId="17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23"/>
      </left>
      <right style="thin">
        <color indexed="51"/>
      </right>
      <top style="thin">
        <color indexed="23"/>
      </top>
      <bottom style="thin">
        <color indexed="51"/>
      </bottom>
      <diagonal/>
    </border>
    <border>
      <left style="thin">
        <color indexed="23"/>
      </left>
      <right style="thin">
        <color indexed="51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51"/>
      </right>
      <top style="thin">
        <color indexed="51"/>
      </top>
      <bottom style="thin">
        <color indexed="23"/>
      </bottom>
      <diagonal/>
    </border>
    <border>
      <left style="thin">
        <color indexed="51"/>
      </left>
      <right style="thin">
        <color indexed="51"/>
      </right>
      <top style="thin">
        <color indexed="51"/>
      </top>
      <bottom style="thin">
        <color indexed="51"/>
      </bottom>
      <diagonal/>
    </border>
    <border>
      <left style="thin">
        <color indexed="23"/>
      </left>
      <right style="thin">
        <color indexed="51"/>
      </right>
      <top style="thin">
        <color indexed="51"/>
      </top>
      <bottom style="thin">
        <color indexed="51"/>
      </bottom>
      <diagonal/>
    </border>
    <border>
      <left style="thin">
        <color indexed="23"/>
      </left>
      <right style="thin">
        <color indexed="51"/>
      </right>
      <top/>
      <bottom style="thin">
        <color indexed="23"/>
      </bottom>
      <diagonal/>
    </border>
    <border>
      <left style="thin">
        <color indexed="23"/>
      </left>
      <right style="thin">
        <color indexed="51"/>
      </right>
      <top style="thin">
        <color indexed="23"/>
      </top>
      <bottom/>
      <diagonal/>
    </border>
    <border>
      <left/>
      <right style="thin">
        <color indexed="51"/>
      </right>
      <top style="thin">
        <color indexed="51"/>
      </top>
      <bottom style="thin">
        <color indexed="51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6" borderId="2"/>
    <xf numFmtId="0" fontId="1" fillId="0" borderId="0"/>
    <xf numFmtId="17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8" fillId="3" borderId="0" applyNumberFormat="0" applyBorder="0" applyAlignment="0" applyProtection="0"/>
    <xf numFmtId="0" fontId="9" fillId="2" borderId="1" applyNumberFormat="0" applyAlignment="0" applyProtection="0"/>
    <xf numFmtId="0" fontId="10" fillId="4" borderId="0" applyNumberFormat="0" applyBorder="0" applyAlignment="0" applyProtection="0"/>
  </cellStyleXfs>
  <cellXfs count="75">
    <xf numFmtId="0" fontId="0" fillId="0" borderId="0" xfId="0"/>
    <xf numFmtId="170" fontId="3" fillId="0" borderId="0" xfId="7" applyNumberFormat="1" applyFont="1" applyFill="1" applyBorder="1" applyAlignment="1">
      <alignment horizontal="right"/>
    </xf>
    <xf numFmtId="166" fontId="3" fillId="0" borderId="0" xfId="7" applyNumberFormat="1" applyFont="1" applyFill="1" applyBorder="1"/>
    <xf numFmtId="166" fontId="3" fillId="0" borderId="0" xfId="7" applyNumberFormat="1" applyFont="1" applyFill="1" applyBorder="1" applyAlignment="1">
      <alignment horizontal="left"/>
    </xf>
    <xf numFmtId="173" fontId="3" fillId="0" borderId="12" xfId="7" applyFont="1" applyFill="1" applyBorder="1" applyAlignment="1">
      <alignment horizontal="left"/>
    </xf>
    <xf numFmtId="173" fontId="3" fillId="0" borderId="0" xfId="2" applyNumberFormat="1" applyFont="1"/>
    <xf numFmtId="173" fontId="3" fillId="0" borderId="0" xfId="7" applyFont="1" applyFill="1" applyBorder="1" applyAlignment="1">
      <alignment horizontal="center"/>
    </xf>
    <xf numFmtId="173" fontId="3" fillId="0" borderId="0" xfId="2" applyNumberFormat="1" applyFont="1" applyAlignment="1">
      <alignment horizontal="right"/>
    </xf>
    <xf numFmtId="166" fontId="3" fillId="0" borderId="0" xfId="7" applyNumberFormat="1" applyFont="1" applyFill="1" applyBorder="1" applyAlignment="1">
      <alignment horizontal="right"/>
    </xf>
    <xf numFmtId="166" fontId="3" fillId="0" borderId="0" xfId="7" applyNumberFormat="1" applyFont="1" applyFill="1" applyBorder="1" applyAlignment="1">
      <alignment horizontal="center"/>
    </xf>
    <xf numFmtId="0" fontId="3" fillId="5" borderId="0" xfId="2" applyFont="1" applyFill="1" applyAlignment="1">
      <alignment horizontal="left"/>
    </xf>
    <xf numFmtId="0" fontId="4" fillId="0" borderId="20" xfId="2" applyFont="1" applyBorder="1" applyAlignment="1">
      <alignment horizontal="left"/>
    </xf>
    <xf numFmtId="0" fontId="3" fillId="5" borderId="19" xfId="2" applyFont="1" applyFill="1" applyBorder="1" applyAlignment="1">
      <alignment horizontal="left"/>
    </xf>
    <xf numFmtId="0" fontId="3" fillId="5" borderId="18" xfId="2" applyFont="1" applyFill="1" applyBorder="1" applyAlignment="1">
      <alignment horizontal="left"/>
    </xf>
    <xf numFmtId="0" fontId="7" fillId="0" borderId="0" xfId="2" applyFont="1"/>
    <xf numFmtId="0" fontId="3" fillId="0" borderId="0" xfId="2" applyFont="1"/>
    <xf numFmtId="0" fontId="3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167" fontId="7" fillId="0" borderId="0" xfId="2" applyNumberFormat="1" applyFont="1"/>
    <xf numFmtId="0" fontId="6" fillId="0" borderId="0" xfId="2" applyFont="1"/>
    <xf numFmtId="0" fontId="6" fillId="0" borderId="2" xfId="2" applyFont="1" applyBorder="1"/>
    <xf numFmtId="167" fontId="7" fillId="0" borderId="0" xfId="2" applyNumberFormat="1" applyFont="1" applyAlignment="1">
      <alignment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top" wrapText="1"/>
    </xf>
    <xf numFmtId="0" fontId="3" fillId="0" borderId="0" xfId="2" applyFont="1" applyAlignment="1">
      <alignment vertical="top"/>
    </xf>
    <xf numFmtId="0" fontId="3" fillId="0" borderId="0" xfId="2" applyFont="1" applyAlignment="1">
      <alignment horizontal="center" vertical="top"/>
    </xf>
    <xf numFmtId="168" fontId="3" fillId="0" borderId="0" xfId="8" applyNumberFormat="1" applyFont="1" applyFill="1" applyBorder="1" applyAlignment="1">
      <alignment vertical="top"/>
    </xf>
    <xf numFmtId="169" fontId="3" fillId="0" borderId="0" xfId="2" applyNumberFormat="1" applyFont="1" applyAlignment="1">
      <alignment horizontal="center" vertical="top"/>
    </xf>
    <xf numFmtId="168" fontId="3" fillId="0" borderId="0" xfId="2" applyNumberFormat="1" applyFont="1"/>
    <xf numFmtId="169" fontId="3" fillId="0" borderId="0" xfId="8" applyNumberFormat="1" applyFont="1" applyFill="1" applyBorder="1"/>
    <xf numFmtId="171" fontId="3" fillId="0" borderId="0" xfId="8" applyNumberFormat="1" applyFont="1" applyFill="1" applyBorder="1"/>
    <xf numFmtId="0" fontId="4" fillId="0" borderId="0" xfId="2" applyFont="1"/>
    <xf numFmtId="167" fontId="3" fillId="0" borderId="0" xfId="2" applyNumberFormat="1" applyFont="1"/>
    <xf numFmtId="2" fontId="3" fillId="0" borderId="12" xfId="2" applyNumberFormat="1" applyFont="1" applyBorder="1" applyAlignment="1">
      <alignment horizontal="center"/>
    </xf>
    <xf numFmtId="2" fontId="3" fillId="0" borderId="0" xfId="2" applyNumberFormat="1" applyFont="1" applyAlignment="1">
      <alignment horizontal="center"/>
    </xf>
    <xf numFmtId="171" fontId="3" fillId="0" borderId="0" xfId="8" applyNumberFormat="1" applyFont="1" applyFill="1" applyBorder="1" applyAlignment="1">
      <alignment horizontal="center"/>
    </xf>
    <xf numFmtId="0" fontId="4" fillId="0" borderId="0" xfId="2" applyFont="1" applyAlignment="1">
      <alignment vertical="center"/>
    </xf>
    <xf numFmtId="167" fontId="3" fillId="0" borderId="0" xfId="2" applyNumberFormat="1" applyFont="1" applyAlignment="1">
      <alignment vertical="center"/>
    </xf>
    <xf numFmtId="168" fontId="3" fillId="0" borderId="0" xfId="8" applyNumberFormat="1" applyFont="1" applyFill="1" applyBorder="1" applyAlignment="1">
      <alignment horizontal="center"/>
    </xf>
    <xf numFmtId="168" fontId="3" fillId="0" borderId="0" xfId="8" applyNumberFormat="1" applyFont="1" applyFill="1" applyBorder="1" applyAlignment="1">
      <alignment horizontal="right"/>
    </xf>
    <xf numFmtId="0" fontId="4" fillId="0" borderId="2" xfId="2" applyFont="1" applyBorder="1"/>
    <xf numFmtId="171" fontId="3" fillId="0" borderId="0" xfId="2" applyNumberFormat="1" applyFont="1"/>
    <xf numFmtId="172" fontId="3" fillId="0" borderId="0" xfId="2" applyNumberFormat="1" applyFont="1" applyAlignment="1">
      <alignment horizontal="left"/>
    </xf>
    <xf numFmtId="172" fontId="3" fillId="0" borderId="0" xfId="2" applyNumberFormat="1" applyFont="1" applyAlignment="1">
      <alignment horizontal="center"/>
    </xf>
    <xf numFmtId="166" fontId="3" fillId="0" borderId="0" xfId="2" applyNumberFormat="1" applyFont="1"/>
    <xf numFmtId="0" fontId="3" fillId="0" borderId="0" xfId="2" applyFont="1" applyAlignment="1">
      <alignment horizontal="left"/>
    </xf>
    <xf numFmtId="168" fontId="3" fillId="0" borderId="0" xfId="8" applyNumberFormat="1" applyFont="1" applyFill="1" applyBorder="1"/>
    <xf numFmtId="169" fontId="3" fillId="0" borderId="0" xfId="2" applyNumberFormat="1" applyFont="1"/>
    <xf numFmtId="0" fontId="3" fillId="0" borderId="11" xfId="2" applyFont="1" applyBorder="1"/>
    <xf numFmtId="0" fontId="3" fillId="0" borderId="10" xfId="2" applyFont="1" applyBorder="1" applyAlignment="1">
      <alignment horizontal="center"/>
    </xf>
    <xf numFmtId="0" fontId="3" fillId="0" borderId="10" xfId="2" applyFont="1" applyBorder="1"/>
    <xf numFmtId="0" fontId="3" fillId="0" borderId="9" xfId="2" applyFont="1" applyBorder="1"/>
    <xf numFmtId="0" fontId="3" fillId="0" borderId="8" xfId="2" applyFont="1" applyBorder="1"/>
    <xf numFmtId="0" fontId="3" fillId="0" borderId="7" xfId="2" applyFont="1" applyBorder="1"/>
    <xf numFmtId="0" fontId="3" fillId="0" borderId="8" xfId="2" applyFont="1" applyBorder="1" applyAlignment="1">
      <alignment horizontal="left"/>
    </xf>
    <xf numFmtId="166" fontId="3" fillId="0" borderId="0" xfId="2" applyNumberFormat="1" applyFont="1" applyAlignment="1">
      <alignment horizontal="right"/>
    </xf>
    <xf numFmtId="0" fontId="3" fillId="0" borderId="6" xfId="2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166" fontId="3" fillId="0" borderId="3" xfId="2" applyNumberFormat="1" applyFont="1" applyBorder="1" applyAlignment="1">
      <alignment horizontal="right"/>
    </xf>
    <xf numFmtId="0" fontId="3" fillId="0" borderId="5" xfId="2" applyFont="1" applyBorder="1"/>
    <xf numFmtId="166" fontId="4" fillId="0" borderId="0" xfId="2" applyNumberFormat="1" applyFont="1"/>
    <xf numFmtId="0" fontId="4" fillId="0" borderId="0" xfId="2" applyFont="1" applyAlignment="1">
      <alignment horizontal="center"/>
    </xf>
    <xf numFmtId="166" fontId="4" fillId="0" borderId="4" xfId="2" applyNumberFormat="1" applyFont="1" applyBorder="1"/>
    <xf numFmtId="3" fontId="3" fillId="0" borderId="0" xfId="2" applyNumberFormat="1" applyFont="1"/>
    <xf numFmtId="164" fontId="4" fillId="0" borderId="0" xfId="2" applyNumberFormat="1" applyFont="1"/>
    <xf numFmtId="164" fontId="3" fillId="0" borderId="0" xfId="2" applyNumberFormat="1" applyFont="1"/>
    <xf numFmtId="167" fontId="4" fillId="0" borderId="0" xfId="2" applyNumberFormat="1" applyFont="1"/>
    <xf numFmtId="0" fontId="4" fillId="0" borderId="17" xfId="2" applyFont="1" applyBorder="1" applyAlignment="1">
      <alignment horizontal="left"/>
    </xf>
    <xf numFmtId="0" fontId="4" fillId="7" borderId="16" xfId="2" applyFont="1" applyFill="1" applyBorder="1" applyAlignment="1">
      <alignment horizontal="center"/>
    </xf>
    <xf numFmtId="0" fontId="3" fillId="5" borderId="15" xfId="2" applyFont="1" applyFill="1" applyBorder="1" applyAlignment="1">
      <alignment horizontal="left"/>
    </xf>
    <xf numFmtId="166" fontId="3" fillId="0" borderId="0" xfId="4" applyNumberFormat="1" applyFont="1"/>
    <xf numFmtId="0" fontId="3" fillId="5" borderId="14" xfId="2" applyFont="1" applyFill="1" applyBorder="1" applyAlignment="1">
      <alignment horizontal="left"/>
    </xf>
    <xf numFmtId="0" fontId="3" fillId="5" borderId="13" xfId="2" applyFont="1" applyFill="1" applyBorder="1" applyAlignment="1">
      <alignment horizontal="left"/>
    </xf>
    <xf numFmtId="0" fontId="4" fillId="8" borderId="8" xfId="2" applyFont="1" applyFill="1" applyBorder="1" applyAlignment="1">
      <alignment horizontal="center"/>
    </xf>
    <xf numFmtId="0" fontId="4" fillId="8" borderId="0" xfId="2" applyFont="1" applyFill="1" applyAlignment="1">
      <alignment horizontal="center"/>
    </xf>
  </cellXfs>
  <cellStyles count="12">
    <cellStyle name="40% - Accent1 2" xfId="9" xr:uid="{D0F6779B-FDCA-43FA-B4C8-A41E357E93B9}"/>
    <cellStyle name="60% - Accent4 2" xfId="11" xr:uid="{9A250CC4-EA6F-4128-8F66-DC0B361CE223}"/>
    <cellStyle name="Check Cell 2" xfId="10" xr:uid="{8E0E506C-EB3D-4F63-A336-B3C0CB4628AE}"/>
    <cellStyle name="Comma 2" xfId="4" xr:uid="{C30DA159-D5B4-442C-99B0-1D22E6E21866}"/>
    <cellStyle name="Comma 2 2" xfId="7" xr:uid="{1587CC89-45AE-4E5E-8FE6-C984B76E2FE9}"/>
    <cellStyle name="Comma 3" xfId="1" xr:uid="{2480EE1E-B510-4668-B310-4221E83B2637}"/>
    <cellStyle name="Currency 2" xfId="8" xr:uid="{204BC394-0E21-4DE3-81C3-93B1BF6210A6}"/>
    <cellStyle name="MyBlue" xfId="5" xr:uid="{9DDBC2D2-8F12-4FBA-9E65-EBDF6F7F1DF2}"/>
    <cellStyle name="Normal" xfId="0" builtinId="0"/>
    <cellStyle name="Normal 2" xfId="2" xr:uid="{5B816DAE-748D-49C5-801C-C61B259B69DB}"/>
    <cellStyle name="Normal 3" xfId="6" xr:uid="{C5E4ED86-A0AD-409E-B33B-144CA39482B6}"/>
    <cellStyle name="Percent 2" xfId="3" xr:uid="{2B9F6B64-DF09-4CAB-98C1-DCD373F4C4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800A-22E9-4F36-B391-0C2D6D1877A3}">
  <sheetPr codeName="Sheet1">
    <tabColor rgb="FFFFFF00"/>
    <pageSetUpPr fitToPage="1"/>
  </sheetPr>
  <dimension ref="A1:S60"/>
  <sheetViews>
    <sheetView tabSelected="1" zoomScale="85" zoomScaleNormal="85" zoomScalePageLayoutView="175" workbookViewId="0">
      <selection activeCell="G34" sqref="G34"/>
    </sheetView>
  </sheetViews>
  <sheetFormatPr defaultColWidth="9.140625" defaultRowHeight="15" x14ac:dyDescent="0.25"/>
  <cols>
    <col min="1" max="1" width="24.140625" style="15" bestFit="1" customWidth="1"/>
    <col min="2" max="2" width="10.7109375" style="15" bestFit="1" customWidth="1"/>
    <col min="3" max="3" width="3.85546875" style="15" bestFit="1" customWidth="1"/>
    <col min="4" max="5" width="10.7109375" style="15" bestFit="1" customWidth="1"/>
    <col min="6" max="6" width="18.7109375" style="15" bestFit="1" customWidth="1"/>
    <col min="7" max="7" width="9.140625" style="15" bestFit="1" customWidth="1"/>
    <col min="8" max="8" width="6" style="15" bestFit="1" customWidth="1"/>
    <col min="9" max="9" width="9.140625" style="47" bestFit="1" customWidth="1"/>
    <col min="10" max="10" width="14.85546875" style="15" bestFit="1" customWidth="1"/>
    <col min="11" max="11" width="8.28515625" style="16" bestFit="1" customWidth="1"/>
    <col min="12" max="12" width="17.42578125" style="15" bestFit="1" customWidth="1"/>
    <col min="13" max="13" width="6.7109375" style="15" bestFit="1" customWidth="1"/>
    <col min="14" max="14" width="3.5703125" style="15" bestFit="1" customWidth="1"/>
    <col min="15" max="15" width="4.140625" style="15" bestFit="1" customWidth="1"/>
    <col min="16" max="16" width="7.85546875" style="15" bestFit="1" customWidth="1"/>
    <col min="17" max="17" width="12" style="15" bestFit="1" customWidth="1"/>
    <col min="18" max="18" width="4.140625" style="15" bestFit="1" customWidth="1"/>
    <col min="19" max="19" width="7.85546875" style="15" bestFit="1" customWidth="1"/>
    <col min="20" max="16384" width="9.140625" style="15"/>
  </cols>
  <sheetData>
    <row r="1" spans="1:19" s="24" customFormat="1" ht="25.5" customHeight="1" thickBot="1" x14ac:dyDescent="0.3">
      <c r="A1" s="24" t="s">
        <v>26</v>
      </c>
      <c r="B1" s="25">
        <v>140</v>
      </c>
      <c r="C1" s="23" t="s">
        <v>27</v>
      </c>
      <c r="G1" s="26"/>
      <c r="H1" s="25" t="s">
        <v>28</v>
      </c>
      <c r="I1" s="27" t="s">
        <v>29</v>
      </c>
      <c r="J1" s="25" t="s">
        <v>30</v>
      </c>
      <c r="K1" s="25"/>
      <c r="L1" s="24" t="s">
        <v>31</v>
      </c>
      <c r="R1" s="20">
        <f>IF(AND(R9&lt;=24,R14&gt;615),"Too Big",IF(AND(R9&lt;=24,R14&gt;473),4,IF(AND(R9&lt;=24,R14&gt;343),3,IF(AND(R9&lt;=24,R14&gt;213),2,IF(AND(R9&lt;=24,R14&gt;83),1,0)))))</f>
        <v>1</v>
      </c>
    </row>
    <row r="2" spans="1:19" ht="15.75" thickBot="1" x14ac:dyDescent="0.3">
      <c r="B2" s="16"/>
      <c r="G2" s="28"/>
      <c r="H2" s="16">
        <v>1</v>
      </c>
      <c r="I2" s="29">
        <f t="shared" ref="I2:I16" si="0">($E$5*H2%)+$E$5</f>
        <v>0.26041166666666671</v>
      </c>
      <c r="J2" s="30">
        <f t="shared" ref="J2:J16" si="1">I2+$E$6</f>
        <v>2.5783333333333491E-3</v>
      </c>
      <c r="L2" s="16" t="s">
        <v>32</v>
      </c>
      <c r="M2" s="16" t="s">
        <v>33</v>
      </c>
      <c r="O2" s="31">
        <v>5</v>
      </c>
      <c r="P2" s="32">
        <f>IF($B$61&lt;=120,$B$61*19350,"Too Many!")</f>
        <v>0</v>
      </c>
      <c r="Q2" s="15" t="s">
        <v>34</v>
      </c>
    </row>
    <row r="3" spans="1:19" ht="15.75" thickBot="1" x14ac:dyDescent="0.3">
      <c r="A3" s="15" t="s">
        <v>35</v>
      </c>
      <c r="B3" s="33">
        <v>65</v>
      </c>
      <c r="D3" s="15" t="s">
        <v>36</v>
      </c>
      <c r="E3" s="16" t="s">
        <v>37</v>
      </c>
      <c r="F3" s="16"/>
      <c r="G3" s="16" t="s">
        <v>38</v>
      </c>
      <c r="H3" s="16">
        <v>2</v>
      </c>
      <c r="I3" s="29">
        <f t="shared" si="0"/>
        <v>0.26299</v>
      </c>
      <c r="J3" s="30">
        <f t="shared" si="1"/>
        <v>5.1566666666666428E-3</v>
      </c>
      <c r="K3" s="16" t="s">
        <v>39</v>
      </c>
      <c r="L3" s="16">
        <v>200</v>
      </c>
      <c r="M3" s="34">
        <f>L3/2.54</f>
        <v>78.740157480314963</v>
      </c>
      <c r="N3" s="16" t="s">
        <v>40</v>
      </c>
      <c r="O3" s="31">
        <v>834</v>
      </c>
      <c r="P3" s="32">
        <f>IF($B$62&lt;=6150,($B$62*90)+((O3/10)*200), "Too Many!")</f>
        <v>16680</v>
      </c>
    </row>
    <row r="4" spans="1:19" ht="15.75" thickBot="1" x14ac:dyDescent="0.3">
      <c r="A4" s="15" t="s">
        <v>41</v>
      </c>
      <c r="B4" s="35">
        <v>0.34</v>
      </c>
      <c r="G4" s="17"/>
      <c r="H4" s="16">
        <v>3</v>
      </c>
      <c r="I4" s="29">
        <f t="shared" si="0"/>
        <v>0.26556833333333335</v>
      </c>
      <c r="J4" s="30">
        <f t="shared" si="1"/>
        <v>7.7349999999999919E-3</v>
      </c>
      <c r="L4" s="16"/>
      <c r="M4" s="16"/>
      <c r="N4" s="16"/>
      <c r="O4" s="36">
        <v>1</v>
      </c>
      <c r="P4" s="37">
        <f>65000+6600</f>
        <v>71600</v>
      </c>
    </row>
    <row r="5" spans="1:19" ht="15.75" thickBot="1" x14ac:dyDescent="0.3">
      <c r="A5" s="15" t="s">
        <v>42</v>
      </c>
      <c r="B5" s="38"/>
      <c r="E5" s="30">
        <f>(B1*B4/12000)*B3</f>
        <v>0.25783333333333336</v>
      </c>
      <c r="F5" s="15" t="s">
        <v>43</v>
      </c>
      <c r="G5" s="39">
        <f>B7*E5+B3</f>
        <v>14804.000000000002</v>
      </c>
      <c r="H5" s="16">
        <v>4</v>
      </c>
      <c r="I5" s="29">
        <f t="shared" si="0"/>
        <v>0.2681466666666667</v>
      </c>
      <c r="J5" s="30">
        <f t="shared" si="1"/>
        <v>1.0313333333333341E-2</v>
      </c>
      <c r="L5" s="16" t="s">
        <v>33</v>
      </c>
      <c r="M5" s="16" t="s">
        <v>32</v>
      </c>
      <c r="N5" s="16"/>
      <c r="O5" s="40">
        <f>IF(AND(O2&lt;=24,O7&gt;615),"Too Big",IF(AND(O2&lt;=24,O7&gt;473),4,IF(AND(O2&lt;=24,O7&gt;343),3,IF(AND(O2&lt;=24,O7&gt;213),2,IF(AND(O2&lt;=24,O7&gt;83),1,0)))))</f>
        <v>1</v>
      </c>
      <c r="P5" s="32">
        <f>SUM(O2*19900)</f>
        <v>99500</v>
      </c>
    </row>
    <row r="6" spans="1:19" x14ac:dyDescent="0.25">
      <c r="B6" s="16"/>
      <c r="D6" s="15" t="s">
        <v>44</v>
      </c>
      <c r="E6" s="41">
        <f>E7-E5</f>
        <v>-0.25783333333333336</v>
      </c>
      <c r="F6" s="42" t="s">
        <v>45</v>
      </c>
      <c r="H6" s="16">
        <v>5</v>
      </c>
      <c r="I6" s="29">
        <f t="shared" si="0"/>
        <v>0.27072500000000005</v>
      </c>
      <c r="J6" s="30">
        <f t="shared" si="1"/>
        <v>1.289166666666669E-2</v>
      </c>
      <c r="K6" s="16" t="s">
        <v>46</v>
      </c>
      <c r="L6" s="16">
        <v>0.185</v>
      </c>
      <c r="M6" s="34">
        <f>L6*2.54</f>
        <v>0.46989999999999998</v>
      </c>
      <c r="N6" s="16" t="s">
        <v>39</v>
      </c>
      <c r="O6" s="31">
        <f>IF(AND(O2&gt;120),"Too Big",IF(AND(O2&gt;96),4,IF(AND(O2&gt;72),3,IF(AND(O2&gt;48),2,IF(AND(O2&gt;24),1,0)))))</f>
        <v>0</v>
      </c>
      <c r="P6" s="32">
        <f>SUM((O6)*48400)</f>
        <v>0</v>
      </c>
    </row>
    <row r="7" spans="1:19" x14ac:dyDescent="0.25">
      <c r="A7" s="15" t="s">
        <v>47</v>
      </c>
      <c r="B7" s="9">
        <f>(43350/B1)*12000/B3</f>
        <v>57164.835164835167</v>
      </c>
      <c r="D7" s="15" t="s">
        <v>48</v>
      </c>
      <c r="E7" s="29"/>
      <c r="F7" s="43" t="s">
        <v>49</v>
      </c>
      <c r="G7" s="39">
        <f>E7*B7</f>
        <v>0</v>
      </c>
      <c r="H7" s="16">
        <v>6</v>
      </c>
      <c r="I7" s="29">
        <f t="shared" si="0"/>
        <v>0.27330333333333334</v>
      </c>
      <c r="J7" s="30">
        <f t="shared" si="1"/>
        <v>1.5469999999999984E-2</v>
      </c>
      <c r="O7" s="31">
        <f>ROUNDUP(O3/10,0)</f>
        <v>84</v>
      </c>
      <c r="P7" s="32">
        <f>(O7-10)*800</f>
        <v>59200</v>
      </c>
      <c r="Q7" s="15" t="s">
        <v>50</v>
      </c>
    </row>
    <row r="8" spans="1:19" x14ac:dyDescent="0.25">
      <c r="A8" s="15" t="s">
        <v>51</v>
      </c>
      <c r="B8" s="9">
        <v>17</v>
      </c>
      <c r="D8" s="16" t="s">
        <v>52</v>
      </c>
      <c r="E8" s="15" t="s">
        <v>53</v>
      </c>
      <c r="F8" s="8">
        <v>74426</v>
      </c>
      <c r="H8" s="16">
        <v>7</v>
      </c>
      <c r="I8" s="29">
        <f t="shared" si="0"/>
        <v>0.27588166666666669</v>
      </c>
      <c r="J8" s="30">
        <f t="shared" si="1"/>
        <v>1.8048333333333333E-2</v>
      </c>
      <c r="L8" s="15" t="s">
        <v>54</v>
      </c>
    </row>
    <row r="9" spans="1:19" x14ac:dyDescent="0.25">
      <c r="B9" s="16"/>
      <c r="D9" s="16" t="s">
        <v>55</v>
      </c>
      <c r="E9" s="15" t="s">
        <v>56</v>
      </c>
      <c r="F9" s="7">
        <f>F8/B7</f>
        <v>1.3019542483660129</v>
      </c>
      <c r="H9" s="16">
        <v>8</v>
      </c>
      <c r="I9" s="29">
        <f t="shared" si="0"/>
        <v>0.27846000000000004</v>
      </c>
      <c r="J9" s="30">
        <f t="shared" si="1"/>
        <v>2.0626666666666682E-2</v>
      </c>
      <c r="K9" s="16" t="s">
        <v>57</v>
      </c>
      <c r="L9" s="41">
        <f>E5</f>
        <v>0.25783333333333336</v>
      </c>
      <c r="M9" s="15" t="s">
        <v>58</v>
      </c>
      <c r="Q9" s="14" t="s">
        <v>34</v>
      </c>
      <c r="R9" s="19">
        <v>5</v>
      </c>
      <c r="S9" s="18">
        <f>IF($B$61&lt;=120,$B$61*19350,"Too Many!")</f>
        <v>0</v>
      </c>
    </row>
    <row r="10" spans="1:19" x14ac:dyDescent="0.25">
      <c r="A10" s="15" t="s">
        <v>59</v>
      </c>
      <c r="B10" s="6">
        <f>B7/B8</f>
        <v>3362.6373626373629</v>
      </c>
      <c r="C10" s="9"/>
      <c r="D10" s="9" t="s">
        <v>60</v>
      </c>
      <c r="E10" s="15" t="s">
        <v>56</v>
      </c>
      <c r="F10" s="5">
        <f>CEILING(F9,1)</f>
        <v>2</v>
      </c>
      <c r="H10" s="16">
        <v>9</v>
      </c>
      <c r="I10" s="29">
        <f t="shared" si="0"/>
        <v>0.28103833333333333</v>
      </c>
      <c r="J10" s="30">
        <f t="shared" si="1"/>
        <v>2.3204999999999976E-2</v>
      </c>
      <c r="K10" s="16" t="s">
        <v>61</v>
      </c>
      <c r="L10" s="44">
        <f>F8</f>
        <v>74426</v>
      </c>
      <c r="M10" s="15" t="s">
        <v>62</v>
      </c>
      <c r="Q10" s="14"/>
      <c r="R10" s="19">
        <v>834</v>
      </c>
      <c r="S10" s="18">
        <f>IF($B$62&lt;=6150,($B$62*90)+((R10/10)*200), "Too Many!")</f>
        <v>16680</v>
      </c>
    </row>
    <row r="11" spans="1:19" x14ac:dyDescent="0.25">
      <c r="A11" s="15" t="s">
        <v>51</v>
      </c>
      <c r="B11" s="9">
        <v>18</v>
      </c>
      <c r="C11" s="17"/>
      <c r="D11" s="45" t="s">
        <v>63</v>
      </c>
      <c r="F11" s="44">
        <f>F10*B7</f>
        <v>114329.67032967033</v>
      </c>
      <c r="G11" s="44"/>
      <c r="H11" s="16">
        <v>10</v>
      </c>
      <c r="I11" s="29">
        <f t="shared" si="0"/>
        <v>0.28361666666666668</v>
      </c>
      <c r="J11" s="30">
        <f t="shared" si="1"/>
        <v>2.5783333333333325E-2</v>
      </c>
      <c r="K11" s="16" t="s">
        <v>64</v>
      </c>
      <c r="L11" s="46">
        <f>L9*L10</f>
        <v>19189.503666666667</v>
      </c>
      <c r="M11" s="15" t="s">
        <v>65</v>
      </c>
      <c r="Q11" s="14"/>
      <c r="R11" s="22">
        <v>1</v>
      </c>
      <c r="S11" s="21">
        <f>65000+6600</f>
        <v>71600</v>
      </c>
    </row>
    <row r="12" spans="1:19" ht="15.75" thickBot="1" x14ac:dyDescent="0.3">
      <c r="B12" s="16"/>
      <c r="C12" s="8"/>
      <c r="D12" s="45" t="s">
        <v>66</v>
      </c>
      <c r="E12" s="17" t="s">
        <v>67</v>
      </c>
      <c r="H12" s="16">
        <v>11</v>
      </c>
      <c r="I12" s="29">
        <f t="shared" si="0"/>
        <v>0.28619500000000003</v>
      </c>
      <c r="J12" s="30">
        <f t="shared" si="1"/>
        <v>2.8361666666666674E-2</v>
      </c>
      <c r="K12" s="16" t="s">
        <v>64</v>
      </c>
      <c r="L12" s="46">
        <f>E7*L10</f>
        <v>0</v>
      </c>
      <c r="M12" s="15" t="s">
        <v>68</v>
      </c>
      <c r="Q12" s="14"/>
      <c r="S12" s="18">
        <f>SUM(R9*19900)</f>
        <v>99500</v>
      </c>
    </row>
    <row r="13" spans="1:19" ht="15.75" thickBot="1" x14ac:dyDescent="0.3">
      <c r="A13" s="15" t="s">
        <v>59</v>
      </c>
      <c r="B13" s="6">
        <f>B7/B11</f>
        <v>3175.8241758241761</v>
      </c>
      <c r="D13" s="4">
        <f>($B$7*$B$3)/12000*$B$1+AVERAGE(B16,B22,B28,B33)*0.05</f>
        <v>43358.125</v>
      </c>
      <c r="E13" s="3">
        <f>D13+(B8*60)</f>
        <v>44378.125</v>
      </c>
      <c r="H13" s="16">
        <v>12</v>
      </c>
      <c r="I13" s="29">
        <f t="shared" si="0"/>
        <v>0.28877333333333338</v>
      </c>
      <c r="J13" s="30">
        <f t="shared" si="1"/>
        <v>3.0940000000000023E-2</v>
      </c>
      <c r="Q13" s="14"/>
      <c r="R13" s="19">
        <f>IF(AND(R9&gt;120),"Too Big",IF(AND(R9&gt;96),4,IF(AND(R9&gt;72),3,IF(AND(R9&gt;48),2,IF(AND(R9&gt;24),1,0)))))</f>
        <v>0</v>
      </c>
      <c r="S13" s="18">
        <f>SUM((R13)*48400)</f>
        <v>0</v>
      </c>
    </row>
    <row r="14" spans="1:19" x14ac:dyDescent="0.25">
      <c r="A14" s="15" t="s">
        <v>69</v>
      </c>
      <c r="B14" s="2"/>
      <c r="H14" s="16">
        <v>13</v>
      </c>
      <c r="I14" s="29">
        <f t="shared" si="0"/>
        <v>0.29135166666666668</v>
      </c>
      <c r="J14" s="30">
        <f t="shared" si="1"/>
        <v>3.3518333333333317E-2</v>
      </c>
      <c r="Q14" s="14" t="s">
        <v>50</v>
      </c>
      <c r="R14" s="19">
        <f>ROUNDUP(R10/10,0)</f>
        <v>84</v>
      </c>
      <c r="S14" s="18">
        <f>(R14-10)*800</f>
        <v>59200</v>
      </c>
    </row>
    <row r="15" spans="1:19" x14ac:dyDescent="0.25">
      <c r="A15" s="31" t="s">
        <v>70</v>
      </c>
      <c r="D15" s="31" t="s">
        <v>71</v>
      </c>
      <c r="H15" s="16">
        <v>14</v>
      </c>
      <c r="I15" s="29">
        <f t="shared" si="0"/>
        <v>0.29393000000000002</v>
      </c>
      <c r="J15" s="30">
        <f t="shared" si="1"/>
        <v>3.6096666666666666E-2</v>
      </c>
    </row>
    <row r="16" spans="1:19" x14ac:dyDescent="0.25">
      <c r="A16" s="15" t="s">
        <v>72</v>
      </c>
      <c r="B16" s="16">
        <v>140</v>
      </c>
      <c r="D16" s="15" t="s">
        <v>72</v>
      </c>
      <c r="E16" s="16">
        <v>140</v>
      </c>
      <c r="H16" s="16">
        <v>15</v>
      </c>
      <c r="I16" s="29">
        <f t="shared" si="0"/>
        <v>0.29650833333333337</v>
      </c>
      <c r="J16" s="30">
        <f t="shared" si="1"/>
        <v>3.8675000000000015E-2</v>
      </c>
    </row>
    <row r="17" spans="1:13" ht="15.75" thickBot="1" x14ac:dyDescent="0.3">
      <c r="A17" s="15" t="s">
        <v>73</v>
      </c>
      <c r="B17" s="16">
        <v>72</v>
      </c>
      <c r="D17" s="15" t="s">
        <v>73</v>
      </c>
      <c r="E17" s="16">
        <v>66</v>
      </c>
    </row>
    <row r="18" spans="1:13" x14ac:dyDescent="0.25">
      <c r="A18" s="15" t="s">
        <v>53</v>
      </c>
      <c r="B18" s="9">
        <v>12144</v>
      </c>
      <c r="D18" s="15" t="s">
        <v>53</v>
      </c>
      <c r="E18" s="9">
        <v>43056</v>
      </c>
      <c r="J18" s="48"/>
      <c r="K18" s="49"/>
      <c r="L18" s="50" t="s">
        <v>74</v>
      </c>
      <c r="M18" s="51"/>
    </row>
    <row r="19" spans="1:13" x14ac:dyDescent="0.25">
      <c r="A19" s="15" t="s">
        <v>75</v>
      </c>
      <c r="B19" s="6">
        <f>(B17*B18/12000)*B16</f>
        <v>10200.960000000001</v>
      </c>
      <c r="C19" s="15" t="s">
        <v>76</v>
      </c>
      <c r="D19" s="15" t="s">
        <v>75</v>
      </c>
      <c r="E19" s="6">
        <f>(E17*E18/12000)*E16</f>
        <v>33153.119999999995</v>
      </c>
      <c r="F19" s="15" t="s">
        <v>76</v>
      </c>
      <c r="G19" s="44">
        <f>B19+E19</f>
        <v>43354.079999999994</v>
      </c>
      <c r="H19" s="16" t="s">
        <v>77</v>
      </c>
      <c r="J19" s="52" t="s">
        <v>78</v>
      </c>
      <c r="L19" s="1">
        <f>D13/B7</f>
        <v>0.7584754661668589</v>
      </c>
      <c r="M19" s="53" t="s">
        <v>76</v>
      </c>
    </row>
    <row r="20" spans="1:13" x14ac:dyDescent="0.25">
      <c r="B20" s="6"/>
      <c r="J20" s="52" t="s">
        <v>79</v>
      </c>
      <c r="L20" s="1">
        <f>L19*1000</f>
        <v>758.47546616685895</v>
      </c>
      <c r="M20" s="53" t="s">
        <v>76</v>
      </c>
    </row>
    <row r="21" spans="1:13" x14ac:dyDescent="0.25">
      <c r="A21" s="31" t="s">
        <v>80</v>
      </c>
      <c r="D21" s="31" t="s">
        <v>81</v>
      </c>
      <c r="J21" s="52"/>
      <c r="L21" s="17"/>
      <c r="M21" s="53"/>
    </row>
    <row r="22" spans="1:13" x14ac:dyDescent="0.25">
      <c r="A22" s="15" t="s">
        <v>72</v>
      </c>
      <c r="B22" s="16">
        <v>190</v>
      </c>
      <c r="D22" s="15" t="s">
        <v>72</v>
      </c>
      <c r="E22" s="16">
        <v>190</v>
      </c>
      <c r="J22" s="52" t="s">
        <v>82</v>
      </c>
      <c r="L22" s="8">
        <v>17</v>
      </c>
      <c r="M22" s="53" t="s">
        <v>83</v>
      </c>
    </row>
    <row r="23" spans="1:13" x14ac:dyDescent="0.25">
      <c r="A23" s="15" t="s">
        <v>73</v>
      </c>
      <c r="B23" s="16">
        <v>26.25</v>
      </c>
      <c r="D23" s="15" t="s">
        <v>73</v>
      </c>
      <c r="E23" s="16">
        <v>24.5</v>
      </c>
      <c r="J23" s="54" t="s">
        <v>84</v>
      </c>
      <c r="L23" s="55">
        <f>B7/L22</f>
        <v>3362.6373626373629</v>
      </c>
      <c r="M23" s="53" t="s">
        <v>62</v>
      </c>
    </row>
    <row r="24" spans="1:13" ht="15.75" thickBot="1" x14ac:dyDescent="0.3">
      <c r="A24" s="15" t="s">
        <v>53</v>
      </c>
      <c r="B24" s="9">
        <v>8000</v>
      </c>
      <c r="D24" s="15" t="s">
        <v>53</v>
      </c>
      <c r="E24" s="9">
        <v>3000</v>
      </c>
      <c r="J24" s="56" t="s">
        <v>85</v>
      </c>
      <c r="K24" s="57"/>
      <c r="L24" s="58">
        <f>L23*L19</f>
        <v>2550.4779411764707</v>
      </c>
      <c r="M24" s="59" t="s">
        <v>76</v>
      </c>
    </row>
    <row r="25" spans="1:13" x14ac:dyDescent="0.25">
      <c r="A25" s="15" t="s">
        <v>75</v>
      </c>
      <c r="B25" s="6">
        <f>(B23*B24/12000)*B22</f>
        <v>3325</v>
      </c>
      <c r="C25" s="15" t="s">
        <v>76</v>
      </c>
      <c r="D25" s="15" t="s">
        <v>75</v>
      </c>
      <c r="E25" s="6">
        <f>(E23*E24/12000)*E22</f>
        <v>1163.75</v>
      </c>
      <c r="F25" s="15" t="s">
        <v>76</v>
      </c>
      <c r="G25" s="44">
        <f>B25+E25</f>
        <v>4488.75</v>
      </c>
      <c r="H25" s="16" t="s">
        <v>86</v>
      </c>
      <c r="J25" s="16"/>
    </row>
    <row r="26" spans="1:13" ht="15.75" thickBot="1" x14ac:dyDescent="0.3">
      <c r="F26" s="31" t="s">
        <v>87</v>
      </c>
      <c r="G26" s="60">
        <f>SUM(G19:G25)</f>
        <v>47842.829999999994</v>
      </c>
    </row>
    <row r="27" spans="1:13" ht="15.75" thickBot="1" x14ac:dyDescent="0.3">
      <c r="A27" s="31" t="s">
        <v>88</v>
      </c>
      <c r="D27" s="31" t="s">
        <v>89</v>
      </c>
      <c r="J27" s="61" t="s">
        <v>90</v>
      </c>
      <c r="K27" s="60">
        <f>G26+G37</f>
        <v>57936.16333333333</v>
      </c>
      <c r="L27" s="62">
        <f>MAX(L11,K27)</f>
        <v>57936.16333333333</v>
      </c>
    </row>
    <row r="28" spans="1:13" x14ac:dyDescent="0.25">
      <c r="A28" s="15" t="s">
        <v>72</v>
      </c>
      <c r="B28" s="16">
        <v>160</v>
      </c>
      <c r="D28" s="15" t="s">
        <v>72</v>
      </c>
      <c r="E28" s="16">
        <v>160</v>
      </c>
    </row>
    <row r="29" spans="1:13" x14ac:dyDescent="0.25">
      <c r="A29" s="15" t="s">
        <v>73</v>
      </c>
      <c r="B29" s="16">
        <v>21.25</v>
      </c>
      <c r="D29" s="15" t="s">
        <v>73</v>
      </c>
      <c r="E29" s="16">
        <v>27.75</v>
      </c>
    </row>
    <row r="30" spans="1:13" x14ac:dyDescent="0.25">
      <c r="A30" s="15" t="s">
        <v>53</v>
      </c>
      <c r="B30" s="9">
        <v>4000</v>
      </c>
      <c r="D30" s="15" t="s">
        <v>53</v>
      </c>
      <c r="E30" s="9">
        <v>14000</v>
      </c>
    </row>
    <row r="31" spans="1:13" x14ac:dyDescent="0.25">
      <c r="A31" s="15" t="s">
        <v>75</v>
      </c>
      <c r="B31" s="6">
        <f>(B29*B30/12000)*B28</f>
        <v>1133.3333333333333</v>
      </c>
      <c r="C31" s="15" t="s">
        <v>76</v>
      </c>
      <c r="D31" s="15" t="s">
        <v>75</v>
      </c>
      <c r="E31" s="6">
        <f>(E29*E30/12000)*E28</f>
        <v>5180</v>
      </c>
      <c r="F31" s="15" t="s">
        <v>76</v>
      </c>
      <c r="G31" s="44">
        <f>B31+E31</f>
        <v>6313.333333333333</v>
      </c>
      <c r="H31" s="16" t="s">
        <v>91</v>
      </c>
      <c r="K31" s="15"/>
    </row>
    <row r="32" spans="1:13" x14ac:dyDescent="0.25">
      <c r="A32" s="31" t="s">
        <v>92</v>
      </c>
      <c r="D32" s="31" t="s">
        <v>93</v>
      </c>
    </row>
    <row r="33" spans="1:11" x14ac:dyDescent="0.25">
      <c r="A33" s="15" t="s">
        <v>72</v>
      </c>
      <c r="B33" s="16">
        <v>160</v>
      </c>
      <c r="D33" s="15" t="s">
        <v>72</v>
      </c>
      <c r="E33" s="16">
        <v>160</v>
      </c>
      <c r="I33" s="15"/>
      <c r="K33" s="15"/>
    </row>
    <row r="34" spans="1:11" x14ac:dyDescent="0.25">
      <c r="A34" s="15" t="s">
        <v>73</v>
      </c>
      <c r="B34" s="16">
        <v>26.25</v>
      </c>
      <c r="D34" s="15" t="s">
        <v>73</v>
      </c>
      <c r="E34" s="16">
        <v>24.5</v>
      </c>
      <c r="I34" s="15"/>
      <c r="K34" s="15"/>
    </row>
    <row r="35" spans="1:11" x14ac:dyDescent="0.25">
      <c r="A35" s="15" t="s">
        <v>53</v>
      </c>
      <c r="B35" s="9">
        <v>8000</v>
      </c>
      <c r="D35" s="15" t="s">
        <v>53</v>
      </c>
      <c r="E35" s="9">
        <v>3000</v>
      </c>
      <c r="I35" s="15"/>
      <c r="K35" s="15"/>
    </row>
    <row r="36" spans="1:11" x14ac:dyDescent="0.25">
      <c r="A36" s="15" t="s">
        <v>75</v>
      </c>
      <c r="B36" s="6">
        <f>(B34*B35/12000)*B33</f>
        <v>2800</v>
      </c>
      <c r="C36" s="15" t="s">
        <v>76</v>
      </c>
      <c r="D36" s="15" t="s">
        <v>75</v>
      </c>
      <c r="E36" s="6">
        <f>(E34*E35/12000)*E33</f>
        <v>980</v>
      </c>
      <c r="F36" s="15" t="s">
        <v>76</v>
      </c>
      <c r="G36" s="44">
        <f>B36+E36</f>
        <v>3780</v>
      </c>
      <c r="H36" s="16" t="s">
        <v>94</v>
      </c>
      <c r="I36" s="15"/>
      <c r="K36" s="15"/>
    </row>
    <row r="37" spans="1:11" x14ac:dyDescent="0.25">
      <c r="F37" s="31" t="s">
        <v>87</v>
      </c>
      <c r="G37" s="60">
        <f>SUM(G31:G36)</f>
        <v>10093.333333333332</v>
      </c>
      <c r="I37" s="15"/>
      <c r="K37" s="15"/>
    </row>
    <row r="39" spans="1:11" x14ac:dyDescent="0.25">
      <c r="D39" s="14"/>
      <c r="E39" s="14"/>
      <c r="F39" s="14"/>
    </row>
    <row r="40" spans="1:11" x14ac:dyDescent="0.25">
      <c r="I40" s="15"/>
      <c r="K40" s="15"/>
    </row>
    <row r="41" spans="1:11" x14ac:dyDescent="0.25">
      <c r="I41" s="15"/>
      <c r="K41" s="15"/>
    </row>
    <row r="42" spans="1:11" x14ac:dyDescent="0.25">
      <c r="I42" s="15"/>
      <c r="K42" s="15"/>
    </row>
    <row r="43" spans="1:11" x14ac:dyDescent="0.25">
      <c r="I43" s="15"/>
      <c r="K43" s="15"/>
    </row>
    <row r="44" spans="1:11" x14ac:dyDescent="0.25">
      <c r="I44" s="15"/>
      <c r="K44" s="15"/>
    </row>
    <row r="45" spans="1:11" x14ac:dyDescent="0.25">
      <c r="I45" s="15"/>
      <c r="K45" s="15"/>
    </row>
    <row r="46" spans="1:11" x14ac:dyDescent="0.25">
      <c r="E46" s="31"/>
      <c r="F46" s="63"/>
      <c r="I46" s="15"/>
      <c r="K46" s="15"/>
    </row>
    <row r="47" spans="1:11" x14ac:dyDescent="0.25">
      <c r="E47" s="31"/>
      <c r="F47" s="32"/>
      <c r="I47" s="15"/>
      <c r="K47" s="15"/>
    </row>
    <row r="48" spans="1:11" x14ac:dyDescent="0.25">
      <c r="E48" s="31"/>
      <c r="F48" s="32"/>
      <c r="I48" s="15"/>
      <c r="K48" s="15"/>
    </row>
    <row r="49" spans="5:11" x14ac:dyDescent="0.25">
      <c r="E49" s="31"/>
      <c r="F49" s="64"/>
      <c r="I49" s="15"/>
      <c r="K49" s="15"/>
    </row>
    <row r="50" spans="5:11" x14ac:dyDescent="0.25">
      <c r="E50" s="31"/>
      <c r="I50" s="15"/>
      <c r="K50" s="15"/>
    </row>
    <row r="51" spans="5:11" x14ac:dyDescent="0.25">
      <c r="E51" s="31"/>
      <c r="I51" s="15"/>
      <c r="K51" s="15"/>
    </row>
    <row r="52" spans="5:11" x14ac:dyDescent="0.25">
      <c r="E52" s="31"/>
      <c r="I52" s="15"/>
      <c r="K52" s="15"/>
    </row>
    <row r="53" spans="5:11" x14ac:dyDescent="0.25">
      <c r="E53" s="31"/>
      <c r="I53" s="15"/>
      <c r="K53" s="15"/>
    </row>
    <row r="54" spans="5:11" x14ac:dyDescent="0.25">
      <c r="E54" s="31"/>
      <c r="F54" s="65"/>
      <c r="I54" s="15"/>
      <c r="K54" s="15"/>
    </row>
    <row r="55" spans="5:11" x14ac:dyDescent="0.25">
      <c r="E55" s="31"/>
      <c r="F55" s="32"/>
      <c r="I55" s="15"/>
      <c r="K55" s="15"/>
    </row>
    <row r="56" spans="5:11" x14ac:dyDescent="0.25">
      <c r="E56" s="31"/>
      <c r="F56" s="64"/>
      <c r="I56" s="15"/>
      <c r="K56" s="15"/>
    </row>
    <row r="57" spans="5:11" x14ac:dyDescent="0.25">
      <c r="E57" s="31"/>
      <c r="F57" s="31"/>
      <c r="I57" s="15"/>
      <c r="K57" s="15"/>
    </row>
    <row r="58" spans="5:11" x14ac:dyDescent="0.25">
      <c r="E58" s="31"/>
      <c r="F58" s="66"/>
      <c r="I58" s="15"/>
      <c r="K58" s="15"/>
    </row>
    <row r="59" spans="5:11" x14ac:dyDescent="0.25">
      <c r="E59" s="31"/>
      <c r="F59" s="66"/>
      <c r="I59" s="15"/>
      <c r="K59" s="15"/>
    </row>
    <row r="60" spans="5:11" x14ac:dyDescent="0.25">
      <c r="E60" s="31"/>
      <c r="F60" s="66"/>
      <c r="I60" s="15"/>
      <c r="K60" s="15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751B-0019-43EE-899D-46F8BD7E9791}">
  <sheetPr codeName="Sheet2">
    <tabColor theme="9" tint="0.39997558519241921"/>
    <pageSetUpPr fitToPage="1"/>
  </sheetPr>
  <dimension ref="A1:S60"/>
  <sheetViews>
    <sheetView zoomScaleNormal="100" zoomScalePageLayoutView="175" workbookViewId="0"/>
  </sheetViews>
  <sheetFormatPr defaultColWidth="9.140625" defaultRowHeight="15" x14ac:dyDescent="0.25"/>
  <cols>
    <col min="1" max="1" width="24.140625" style="15" bestFit="1" customWidth="1"/>
    <col min="2" max="2" width="10.7109375" style="15" bestFit="1" customWidth="1"/>
    <col min="3" max="3" width="3.85546875" style="15" bestFit="1" customWidth="1"/>
    <col min="4" max="5" width="10.7109375" style="15" bestFit="1" customWidth="1"/>
    <col min="6" max="6" width="18.7109375" style="15" bestFit="1" customWidth="1"/>
    <col min="7" max="7" width="9.140625" style="15" bestFit="1" customWidth="1"/>
    <col min="8" max="8" width="6" style="15" bestFit="1" customWidth="1"/>
    <col min="9" max="9" width="9.140625" style="47" bestFit="1" customWidth="1"/>
    <col min="10" max="10" width="14.85546875" style="15" bestFit="1" customWidth="1"/>
    <col min="11" max="11" width="8.28515625" style="16" bestFit="1" customWidth="1"/>
    <col min="12" max="12" width="17.42578125" style="15" bestFit="1" customWidth="1"/>
    <col min="13" max="13" width="6.7109375" style="15" bestFit="1" customWidth="1"/>
    <col min="14" max="14" width="3.5703125" style="15" bestFit="1" customWidth="1"/>
    <col min="15" max="15" width="4.140625" style="15" bestFit="1" customWidth="1"/>
    <col min="16" max="16" width="7.85546875" style="15" bestFit="1" customWidth="1"/>
    <col min="17" max="17" width="12" style="15" bestFit="1" customWidth="1"/>
    <col min="18" max="18" width="4.140625" style="15" bestFit="1" customWidth="1"/>
    <col min="19" max="19" width="7.85546875" style="15" bestFit="1" customWidth="1"/>
    <col min="20" max="16384" width="9.140625" style="15"/>
  </cols>
  <sheetData>
    <row r="1" spans="1:19" s="24" customFormat="1" ht="25.5" customHeight="1" thickBot="1" x14ac:dyDescent="0.3">
      <c r="A1" s="24" t="s">
        <v>26</v>
      </c>
      <c r="B1" s="25">
        <v>140</v>
      </c>
      <c r="C1" s="23" t="s">
        <v>27</v>
      </c>
      <c r="G1" s="26"/>
      <c r="H1" s="25" t="s">
        <v>28</v>
      </c>
      <c r="I1" s="27" t="s">
        <v>29</v>
      </c>
      <c r="J1" s="25" t="s">
        <v>30</v>
      </c>
      <c r="K1" s="25"/>
      <c r="L1" s="24" t="s">
        <v>31</v>
      </c>
      <c r="R1" s="20">
        <f>IF(AND(R9&lt;=24,R14&gt;615),"Too Big",IF(AND(R9&lt;=24,R14&gt;473),4,IF(AND(R9&lt;=24,R14&gt;343),3,IF(AND(R9&lt;=24,R14&gt;213),2,IF(AND(R9&lt;=24,R14&gt;83),1,0)))))</f>
        <v>1</v>
      </c>
    </row>
    <row r="2" spans="1:19" ht="15.75" thickBot="1" x14ac:dyDescent="0.3">
      <c r="B2" s="16"/>
      <c r="G2" s="28"/>
      <c r="H2" s="16">
        <v>1</v>
      </c>
      <c r="I2" s="29">
        <f t="shared" ref="I2:I16" si="0">($E$5*H2%)+$E$5</f>
        <v>0.26041166666666671</v>
      </c>
      <c r="J2" s="30">
        <f t="shared" ref="J2:J16" si="1">I2+$E$6</f>
        <v>2.5783333333333491E-3</v>
      </c>
      <c r="L2" s="16" t="s">
        <v>32</v>
      </c>
      <c r="M2" s="16" t="s">
        <v>33</v>
      </c>
      <c r="O2" s="31">
        <v>5</v>
      </c>
      <c r="P2" s="32">
        <f>IF($B$61&lt;=120,$B$61*19350,"Too Many!")</f>
        <v>0</v>
      </c>
      <c r="Q2" s="15" t="s">
        <v>34</v>
      </c>
    </row>
    <row r="3" spans="1:19" ht="15.75" thickBot="1" x14ac:dyDescent="0.3">
      <c r="A3" s="15" t="s">
        <v>35</v>
      </c>
      <c r="B3" s="33">
        <v>65</v>
      </c>
      <c r="D3" s="15" t="s">
        <v>36</v>
      </c>
      <c r="E3" s="16" t="s">
        <v>37</v>
      </c>
      <c r="F3" s="16"/>
      <c r="G3" s="16" t="s">
        <v>38</v>
      </c>
      <c r="H3" s="16">
        <v>2</v>
      </c>
      <c r="I3" s="29">
        <f t="shared" si="0"/>
        <v>0.26299</v>
      </c>
      <c r="J3" s="30">
        <f t="shared" si="1"/>
        <v>5.1566666666666428E-3</v>
      </c>
      <c r="K3" s="16" t="s">
        <v>39</v>
      </c>
      <c r="L3" s="16">
        <v>200</v>
      </c>
      <c r="M3" s="34">
        <f>L3/2.54</f>
        <v>78.740157480314963</v>
      </c>
      <c r="N3" s="16" t="s">
        <v>40</v>
      </c>
      <c r="O3" s="31">
        <v>834</v>
      </c>
      <c r="P3" s="32">
        <f>IF($B$62&lt;=6150,($B$62*90)+((O3/10)*200), "Too Many!")</f>
        <v>16680</v>
      </c>
    </row>
    <row r="4" spans="1:19" ht="15.75" thickBot="1" x14ac:dyDescent="0.3">
      <c r="A4" s="15" t="s">
        <v>41</v>
      </c>
      <c r="B4" s="35">
        <v>0.34</v>
      </c>
      <c r="G4" s="17"/>
      <c r="H4" s="16">
        <v>3</v>
      </c>
      <c r="I4" s="29">
        <f t="shared" si="0"/>
        <v>0.26556833333333335</v>
      </c>
      <c r="J4" s="30">
        <f t="shared" si="1"/>
        <v>7.7349999999999919E-3</v>
      </c>
      <c r="L4" s="16"/>
      <c r="M4" s="16"/>
      <c r="N4" s="16"/>
      <c r="O4" s="36">
        <v>1</v>
      </c>
      <c r="P4" s="37">
        <f>65000+6600</f>
        <v>71600</v>
      </c>
    </row>
    <row r="5" spans="1:19" ht="15.75" thickBot="1" x14ac:dyDescent="0.3">
      <c r="A5" s="15" t="s">
        <v>42</v>
      </c>
      <c r="B5" s="38"/>
      <c r="E5" s="30">
        <f>(B1*B4/12000)*B3</f>
        <v>0.25783333333333336</v>
      </c>
      <c r="F5" s="15" t="s">
        <v>43</v>
      </c>
      <c r="G5" s="39">
        <f>B7*E5+B3</f>
        <v>14804.000000000002</v>
      </c>
      <c r="H5" s="16">
        <v>4</v>
      </c>
      <c r="I5" s="29">
        <f t="shared" si="0"/>
        <v>0.2681466666666667</v>
      </c>
      <c r="J5" s="30">
        <f t="shared" si="1"/>
        <v>1.0313333333333341E-2</v>
      </c>
      <c r="L5" s="16" t="s">
        <v>33</v>
      </c>
      <c r="M5" s="16" t="s">
        <v>32</v>
      </c>
      <c r="N5" s="16"/>
      <c r="O5" s="40">
        <f>IF(AND(O2&lt;=24,O7&gt;615),"Too Big",IF(AND(O2&lt;=24,O7&gt;473),4,IF(AND(O2&lt;=24,O7&gt;343),3,IF(AND(O2&lt;=24,O7&gt;213),2,IF(AND(O2&lt;=24,O7&gt;83),1,0)))))</f>
        <v>1</v>
      </c>
      <c r="P5" s="32">
        <f>SUM(O2*19900)</f>
        <v>99500</v>
      </c>
    </row>
    <row r="6" spans="1:19" x14ac:dyDescent="0.25">
      <c r="B6" s="16"/>
      <c r="D6" s="15" t="s">
        <v>44</v>
      </c>
      <c r="E6" s="41">
        <f>E7-E5</f>
        <v>-0.25783333333333336</v>
      </c>
      <c r="F6" s="42" t="s">
        <v>45</v>
      </c>
      <c r="H6" s="16">
        <v>5</v>
      </c>
      <c r="I6" s="29">
        <f t="shared" si="0"/>
        <v>0.27072500000000005</v>
      </c>
      <c r="J6" s="30">
        <f t="shared" si="1"/>
        <v>1.289166666666669E-2</v>
      </c>
      <c r="K6" s="16" t="s">
        <v>46</v>
      </c>
      <c r="L6" s="16">
        <v>0.185</v>
      </c>
      <c r="M6" s="34">
        <f>L6*2.54</f>
        <v>0.46989999999999998</v>
      </c>
      <c r="N6" s="16" t="s">
        <v>39</v>
      </c>
      <c r="O6" s="31">
        <f>IF(AND(O2&gt;120),"Too Big",IF(AND(O2&gt;96),4,IF(AND(O2&gt;72),3,IF(AND(O2&gt;48),2,IF(AND(O2&gt;24),1,0)))))</f>
        <v>0</v>
      </c>
      <c r="P6" s="32">
        <f>SUM((O6)*48400)</f>
        <v>0</v>
      </c>
    </row>
    <row r="7" spans="1:19" x14ac:dyDescent="0.25">
      <c r="A7" s="15" t="s">
        <v>47</v>
      </c>
      <c r="B7" s="9">
        <f>(43350/B1)*12000/B3</f>
        <v>57164.835164835167</v>
      </c>
      <c r="D7" s="15" t="s">
        <v>48</v>
      </c>
      <c r="E7" s="29"/>
      <c r="F7" s="43" t="s">
        <v>49</v>
      </c>
      <c r="G7" s="39">
        <f>E7*B7</f>
        <v>0</v>
      </c>
      <c r="H7" s="16">
        <v>6</v>
      </c>
      <c r="I7" s="29">
        <f t="shared" si="0"/>
        <v>0.27330333333333334</v>
      </c>
      <c r="J7" s="30">
        <f t="shared" si="1"/>
        <v>1.5469999999999984E-2</v>
      </c>
      <c r="O7" s="31">
        <f>ROUNDUP(O3/10,0)</f>
        <v>84</v>
      </c>
      <c r="P7" s="32">
        <f>(O7-10)*800</f>
        <v>59200</v>
      </c>
      <c r="Q7" s="15" t="s">
        <v>50</v>
      </c>
    </row>
    <row r="8" spans="1:19" x14ac:dyDescent="0.25">
      <c r="A8" s="15" t="s">
        <v>51</v>
      </c>
      <c r="B8" s="9">
        <v>17</v>
      </c>
      <c r="D8" s="16" t="s">
        <v>52</v>
      </c>
      <c r="E8" s="15" t="s">
        <v>53</v>
      </c>
      <c r="F8" s="8">
        <v>74426</v>
      </c>
      <c r="H8" s="16">
        <v>7</v>
      </c>
      <c r="I8" s="29">
        <f t="shared" si="0"/>
        <v>0.27588166666666669</v>
      </c>
      <c r="J8" s="30">
        <f t="shared" si="1"/>
        <v>1.8048333333333333E-2</v>
      </c>
      <c r="L8" s="15" t="s">
        <v>54</v>
      </c>
    </row>
    <row r="9" spans="1:19" x14ac:dyDescent="0.25">
      <c r="B9" s="16"/>
      <c r="D9" s="16" t="s">
        <v>55</v>
      </c>
      <c r="E9" s="15" t="s">
        <v>56</v>
      </c>
      <c r="F9" s="7">
        <f>F8/B7</f>
        <v>1.3019542483660129</v>
      </c>
      <c r="H9" s="16">
        <v>8</v>
      </c>
      <c r="I9" s="29">
        <f t="shared" si="0"/>
        <v>0.27846000000000004</v>
      </c>
      <c r="J9" s="30">
        <f t="shared" si="1"/>
        <v>2.0626666666666682E-2</v>
      </c>
      <c r="K9" s="16" t="s">
        <v>57</v>
      </c>
      <c r="L9" s="41">
        <f>E5</f>
        <v>0.25783333333333336</v>
      </c>
      <c r="M9" s="15" t="s">
        <v>58</v>
      </c>
      <c r="Q9" s="14" t="s">
        <v>34</v>
      </c>
      <c r="R9" s="19">
        <v>5</v>
      </c>
      <c r="S9" s="18">
        <f>IF($B$61&lt;=120,$B$61*19350,"Too Many!")</f>
        <v>0</v>
      </c>
    </row>
    <row r="10" spans="1:19" x14ac:dyDescent="0.25">
      <c r="A10" s="15" t="s">
        <v>59</v>
      </c>
      <c r="B10" s="6">
        <f>B7/B8</f>
        <v>3362.6373626373629</v>
      </c>
      <c r="C10" s="9"/>
      <c r="D10" s="9" t="s">
        <v>60</v>
      </c>
      <c r="E10" s="15" t="s">
        <v>56</v>
      </c>
      <c r="F10" s="5">
        <f>CEILING(F9,1)</f>
        <v>2</v>
      </c>
      <c r="H10" s="16">
        <v>9</v>
      </c>
      <c r="I10" s="29">
        <f t="shared" si="0"/>
        <v>0.28103833333333333</v>
      </c>
      <c r="J10" s="30">
        <f t="shared" si="1"/>
        <v>2.3204999999999976E-2</v>
      </c>
      <c r="K10" s="16" t="s">
        <v>61</v>
      </c>
      <c r="L10" s="44">
        <f>F8</f>
        <v>74426</v>
      </c>
      <c r="M10" s="15" t="s">
        <v>62</v>
      </c>
      <c r="Q10" s="14"/>
      <c r="R10" s="19">
        <v>834</v>
      </c>
      <c r="S10" s="18">
        <f>IF($B$62&lt;=6150,($B$62*90)+((R10/10)*200), "Too Many!")</f>
        <v>16680</v>
      </c>
    </row>
    <row r="11" spans="1:19" x14ac:dyDescent="0.25">
      <c r="A11" s="15" t="s">
        <v>51</v>
      </c>
      <c r="B11" s="9">
        <v>18</v>
      </c>
      <c r="C11" s="17"/>
      <c r="D11" s="45" t="s">
        <v>63</v>
      </c>
      <c r="F11" s="44">
        <f>F10*B7</f>
        <v>114329.67032967033</v>
      </c>
      <c r="G11" s="44"/>
      <c r="H11" s="16">
        <v>10</v>
      </c>
      <c r="I11" s="29">
        <f t="shared" si="0"/>
        <v>0.28361666666666668</v>
      </c>
      <c r="J11" s="30">
        <f t="shared" si="1"/>
        <v>2.5783333333333325E-2</v>
      </c>
      <c r="K11" s="16" t="s">
        <v>64</v>
      </c>
      <c r="L11" s="46">
        <f>L9*L10</f>
        <v>19189.503666666667</v>
      </c>
      <c r="M11" s="15" t="s">
        <v>65</v>
      </c>
      <c r="Q11" s="14"/>
      <c r="R11" s="22">
        <v>1</v>
      </c>
      <c r="S11" s="21">
        <f>65000+6600</f>
        <v>71600</v>
      </c>
    </row>
    <row r="12" spans="1:19" ht="15.75" thickBot="1" x14ac:dyDescent="0.3">
      <c r="B12" s="16"/>
      <c r="C12" s="8"/>
      <c r="D12" s="45" t="s">
        <v>66</v>
      </c>
      <c r="E12" s="17" t="s">
        <v>67</v>
      </c>
      <c r="H12" s="16">
        <v>11</v>
      </c>
      <c r="I12" s="29">
        <f t="shared" si="0"/>
        <v>0.28619500000000003</v>
      </c>
      <c r="J12" s="30">
        <f t="shared" si="1"/>
        <v>2.8361666666666674E-2</v>
      </c>
      <c r="K12" s="16" t="s">
        <v>64</v>
      </c>
      <c r="L12" s="46">
        <f>E7*L10</f>
        <v>0</v>
      </c>
      <c r="M12" s="15" t="s">
        <v>68</v>
      </c>
      <c r="Q12" s="14"/>
      <c r="S12" s="18">
        <f>SUM(R9*19900)</f>
        <v>99500</v>
      </c>
    </row>
    <row r="13" spans="1:19" ht="15.75" thickBot="1" x14ac:dyDescent="0.3">
      <c r="A13" s="15" t="s">
        <v>59</v>
      </c>
      <c r="B13" s="6">
        <f>B7/B11</f>
        <v>3175.8241758241761</v>
      </c>
      <c r="D13" s="4">
        <f>($B$7*$B$3)/12000*$B$1+AVERAGE(B16,B22,B28,B33)*0.05</f>
        <v>43358.125</v>
      </c>
      <c r="E13" s="3">
        <f>D13+(B8*60)</f>
        <v>44378.125</v>
      </c>
      <c r="H13" s="16">
        <v>12</v>
      </c>
      <c r="I13" s="29">
        <f t="shared" si="0"/>
        <v>0.28877333333333338</v>
      </c>
      <c r="J13" s="30">
        <f t="shared" si="1"/>
        <v>3.0940000000000023E-2</v>
      </c>
      <c r="Q13" s="14"/>
      <c r="R13" s="19">
        <f>IF(AND(R9&gt;120),"Too Big",IF(AND(R9&gt;96),4,IF(AND(R9&gt;72),3,IF(AND(R9&gt;48),2,IF(AND(R9&gt;24),1,0)))))</f>
        <v>0</v>
      </c>
      <c r="S13" s="18">
        <f>SUM((R13)*48400)</f>
        <v>0</v>
      </c>
    </row>
    <row r="14" spans="1:19" x14ac:dyDescent="0.25">
      <c r="A14" s="15" t="s">
        <v>69</v>
      </c>
      <c r="B14" s="2"/>
      <c r="H14" s="16">
        <v>13</v>
      </c>
      <c r="I14" s="29">
        <f t="shared" si="0"/>
        <v>0.29135166666666668</v>
      </c>
      <c r="J14" s="30">
        <f t="shared" si="1"/>
        <v>3.3518333333333317E-2</v>
      </c>
      <c r="Q14" s="14" t="s">
        <v>50</v>
      </c>
      <c r="R14" s="19">
        <f>ROUNDUP(R10/10,0)</f>
        <v>84</v>
      </c>
      <c r="S14" s="18">
        <f>(R14-10)*800</f>
        <v>59200</v>
      </c>
    </row>
    <row r="15" spans="1:19" x14ac:dyDescent="0.25">
      <c r="A15" s="31" t="s">
        <v>70</v>
      </c>
      <c r="D15" s="31" t="s">
        <v>71</v>
      </c>
      <c r="H15" s="16">
        <v>14</v>
      </c>
      <c r="I15" s="29">
        <f t="shared" si="0"/>
        <v>0.29393000000000002</v>
      </c>
      <c r="J15" s="30">
        <f t="shared" si="1"/>
        <v>3.6096666666666666E-2</v>
      </c>
    </row>
    <row r="16" spans="1:19" x14ac:dyDescent="0.25">
      <c r="A16" s="15" t="s">
        <v>72</v>
      </c>
      <c r="B16" s="16">
        <v>140</v>
      </c>
      <c r="D16" s="15" t="s">
        <v>72</v>
      </c>
      <c r="E16" s="16">
        <v>140</v>
      </c>
      <c r="H16" s="16">
        <v>15</v>
      </c>
      <c r="I16" s="29">
        <f t="shared" si="0"/>
        <v>0.29650833333333337</v>
      </c>
      <c r="J16" s="30">
        <f t="shared" si="1"/>
        <v>3.8675000000000015E-2</v>
      </c>
    </row>
    <row r="17" spans="1:13" ht="15.75" thickBot="1" x14ac:dyDescent="0.3">
      <c r="A17" s="15" t="s">
        <v>73</v>
      </c>
      <c r="B17" s="16">
        <v>72</v>
      </c>
      <c r="D17" s="15" t="s">
        <v>73</v>
      </c>
      <c r="E17" s="16">
        <v>66</v>
      </c>
    </row>
    <row r="18" spans="1:13" x14ac:dyDescent="0.25">
      <c r="A18" s="15" t="s">
        <v>53</v>
      </c>
      <c r="B18" s="9">
        <v>12144</v>
      </c>
      <c r="D18" s="15" t="s">
        <v>53</v>
      </c>
      <c r="E18" s="9">
        <v>43056</v>
      </c>
      <c r="J18" s="48"/>
      <c r="K18" s="49"/>
      <c r="L18" s="50" t="s">
        <v>74</v>
      </c>
      <c r="M18" s="51"/>
    </row>
    <row r="19" spans="1:13" x14ac:dyDescent="0.25">
      <c r="A19" s="15" t="s">
        <v>75</v>
      </c>
      <c r="B19" s="6">
        <f>(B17*B18/12000)*B16</f>
        <v>10200.960000000001</v>
      </c>
      <c r="C19" s="15" t="s">
        <v>76</v>
      </c>
      <c r="D19" s="15" t="s">
        <v>75</v>
      </c>
      <c r="E19" s="6">
        <f>(E17*E18/12000)*E16</f>
        <v>33153.119999999995</v>
      </c>
      <c r="F19" s="15" t="s">
        <v>76</v>
      </c>
      <c r="G19" s="44">
        <f>B19+E19</f>
        <v>43354.079999999994</v>
      </c>
      <c r="H19" s="16" t="s">
        <v>77</v>
      </c>
      <c r="J19" s="52" t="s">
        <v>78</v>
      </c>
      <c r="L19" s="1">
        <f>D13/B7</f>
        <v>0.7584754661668589</v>
      </c>
      <c r="M19" s="53" t="s">
        <v>76</v>
      </c>
    </row>
    <row r="20" spans="1:13" x14ac:dyDescent="0.25">
      <c r="B20" s="6"/>
      <c r="J20" s="52" t="s">
        <v>79</v>
      </c>
      <c r="L20" s="1">
        <f>L19*1000</f>
        <v>758.47546616685895</v>
      </c>
      <c r="M20" s="53" t="s">
        <v>76</v>
      </c>
    </row>
    <row r="21" spans="1:13" x14ac:dyDescent="0.25">
      <c r="A21" s="31" t="s">
        <v>80</v>
      </c>
      <c r="D21" s="31" t="s">
        <v>81</v>
      </c>
      <c r="J21" s="52"/>
      <c r="L21" s="17"/>
      <c r="M21" s="53"/>
    </row>
    <row r="22" spans="1:13" x14ac:dyDescent="0.25">
      <c r="A22" s="15" t="s">
        <v>72</v>
      </c>
      <c r="B22" s="16">
        <v>190</v>
      </c>
      <c r="D22" s="15" t="s">
        <v>72</v>
      </c>
      <c r="E22" s="16">
        <v>190</v>
      </c>
      <c r="J22" s="52" t="s">
        <v>82</v>
      </c>
      <c r="L22" s="8">
        <v>17</v>
      </c>
      <c r="M22" s="53" t="s">
        <v>83</v>
      </c>
    </row>
    <row r="23" spans="1:13" x14ac:dyDescent="0.25">
      <c r="A23" s="15" t="s">
        <v>73</v>
      </c>
      <c r="B23" s="16">
        <v>26.25</v>
      </c>
      <c r="D23" s="15" t="s">
        <v>73</v>
      </c>
      <c r="E23" s="16">
        <v>24.5</v>
      </c>
      <c r="J23" s="54" t="s">
        <v>84</v>
      </c>
      <c r="L23" s="55">
        <f>B7/L22</f>
        <v>3362.6373626373629</v>
      </c>
      <c r="M23" s="53" t="s">
        <v>62</v>
      </c>
    </row>
    <row r="24" spans="1:13" ht="15.75" thickBot="1" x14ac:dyDescent="0.3">
      <c r="A24" s="15" t="s">
        <v>53</v>
      </c>
      <c r="B24" s="9">
        <v>8000</v>
      </c>
      <c r="D24" s="15" t="s">
        <v>53</v>
      </c>
      <c r="E24" s="9">
        <v>3000</v>
      </c>
      <c r="J24" s="56" t="s">
        <v>85</v>
      </c>
      <c r="K24" s="57"/>
      <c r="L24" s="58">
        <f>L23*L19</f>
        <v>2550.4779411764707</v>
      </c>
      <c r="M24" s="59" t="s">
        <v>76</v>
      </c>
    </row>
    <row r="25" spans="1:13" x14ac:dyDescent="0.25">
      <c r="A25" s="15" t="s">
        <v>75</v>
      </c>
      <c r="B25" s="6">
        <f>(B23*B24/12000)*B22</f>
        <v>3325</v>
      </c>
      <c r="C25" s="15" t="s">
        <v>76</v>
      </c>
      <c r="D25" s="15" t="s">
        <v>75</v>
      </c>
      <c r="E25" s="6">
        <f>(E23*E24/12000)*E22</f>
        <v>1163.75</v>
      </c>
      <c r="F25" s="15" t="s">
        <v>76</v>
      </c>
      <c r="G25" s="44">
        <f>B25+E25</f>
        <v>4488.75</v>
      </c>
      <c r="H25" s="16" t="s">
        <v>86</v>
      </c>
      <c r="J25" s="16"/>
    </row>
    <row r="26" spans="1:13" ht="15.75" thickBot="1" x14ac:dyDescent="0.3">
      <c r="F26" s="31" t="s">
        <v>87</v>
      </c>
      <c r="G26" s="60">
        <f>SUM(G19:G25)</f>
        <v>47842.829999999994</v>
      </c>
    </row>
    <row r="27" spans="1:13" ht="15.75" thickBot="1" x14ac:dyDescent="0.3">
      <c r="A27" s="31" t="s">
        <v>88</v>
      </c>
      <c r="D27" s="31" t="s">
        <v>89</v>
      </c>
      <c r="J27" s="61" t="s">
        <v>90</v>
      </c>
      <c r="K27" s="60">
        <f>G26+G37</f>
        <v>57936.16333333333</v>
      </c>
      <c r="L27" s="62">
        <f>MAX(L11,K27)</f>
        <v>57936.16333333333</v>
      </c>
    </row>
    <row r="28" spans="1:13" x14ac:dyDescent="0.25">
      <c r="A28" s="15" t="s">
        <v>72</v>
      </c>
      <c r="B28" s="16">
        <v>160</v>
      </c>
      <c r="D28" s="15" t="s">
        <v>72</v>
      </c>
      <c r="E28" s="16">
        <v>160</v>
      </c>
    </row>
    <row r="29" spans="1:13" x14ac:dyDescent="0.25">
      <c r="A29" s="15" t="s">
        <v>73</v>
      </c>
      <c r="B29" s="16">
        <v>21.25</v>
      </c>
      <c r="D29" s="15" t="s">
        <v>73</v>
      </c>
      <c r="E29" s="16">
        <v>27.75</v>
      </c>
    </row>
    <row r="30" spans="1:13" x14ac:dyDescent="0.25">
      <c r="A30" s="15" t="s">
        <v>53</v>
      </c>
      <c r="B30" s="9">
        <v>4000</v>
      </c>
      <c r="D30" s="15" t="s">
        <v>53</v>
      </c>
      <c r="E30" s="9">
        <v>14000</v>
      </c>
    </row>
    <row r="31" spans="1:13" x14ac:dyDescent="0.25">
      <c r="A31" s="15" t="s">
        <v>75</v>
      </c>
      <c r="B31" s="6">
        <f>(B29*B30/12000)*B28</f>
        <v>1133.3333333333333</v>
      </c>
      <c r="C31" s="15" t="s">
        <v>76</v>
      </c>
      <c r="D31" s="15" t="s">
        <v>75</v>
      </c>
      <c r="E31" s="6">
        <f>(E29*E30/12000)*E28</f>
        <v>5180</v>
      </c>
      <c r="F31" s="15" t="s">
        <v>76</v>
      </c>
      <c r="G31" s="44">
        <f>B31+E31</f>
        <v>6313.333333333333</v>
      </c>
      <c r="H31" s="16" t="s">
        <v>91</v>
      </c>
      <c r="K31" s="15"/>
    </row>
    <row r="32" spans="1:13" x14ac:dyDescent="0.25">
      <c r="A32" s="31" t="s">
        <v>92</v>
      </c>
      <c r="D32" s="31" t="s">
        <v>93</v>
      </c>
    </row>
    <row r="33" spans="1:11" x14ac:dyDescent="0.25">
      <c r="A33" s="15" t="s">
        <v>72</v>
      </c>
      <c r="B33" s="16">
        <v>160</v>
      </c>
      <c r="D33" s="15" t="s">
        <v>72</v>
      </c>
      <c r="E33" s="16">
        <v>160</v>
      </c>
      <c r="I33" s="15"/>
      <c r="K33" s="15"/>
    </row>
    <row r="34" spans="1:11" x14ac:dyDescent="0.25">
      <c r="A34" s="15" t="s">
        <v>73</v>
      </c>
      <c r="B34" s="16">
        <v>26.25</v>
      </c>
      <c r="D34" s="15" t="s">
        <v>73</v>
      </c>
      <c r="E34" s="16">
        <v>24.5</v>
      </c>
      <c r="I34" s="15"/>
      <c r="K34" s="15"/>
    </row>
    <row r="35" spans="1:11" x14ac:dyDescent="0.25">
      <c r="A35" s="15" t="s">
        <v>53</v>
      </c>
      <c r="B35" s="9">
        <v>8000</v>
      </c>
      <c r="D35" s="15" t="s">
        <v>53</v>
      </c>
      <c r="E35" s="9">
        <v>3000</v>
      </c>
      <c r="I35" s="15"/>
      <c r="K35" s="15"/>
    </row>
    <row r="36" spans="1:11" x14ac:dyDescent="0.25">
      <c r="A36" s="15" t="s">
        <v>75</v>
      </c>
      <c r="B36" s="6">
        <f>(B34*B35/12000)*B33</f>
        <v>2800</v>
      </c>
      <c r="C36" s="15" t="s">
        <v>76</v>
      </c>
      <c r="D36" s="15" t="s">
        <v>75</v>
      </c>
      <c r="E36" s="6">
        <f>(E34*E35/12000)*E33</f>
        <v>980</v>
      </c>
      <c r="F36" s="15" t="s">
        <v>76</v>
      </c>
      <c r="G36" s="44">
        <f>B36+E36</f>
        <v>3780</v>
      </c>
      <c r="H36" s="16" t="s">
        <v>94</v>
      </c>
      <c r="I36" s="15"/>
      <c r="K36" s="15"/>
    </row>
    <row r="37" spans="1:11" x14ac:dyDescent="0.25">
      <c r="F37" s="31" t="s">
        <v>87</v>
      </c>
      <c r="G37" s="60">
        <f>SUM(G31:G36)</f>
        <v>10093.333333333332</v>
      </c>
      <c r="I37" s="15"/>
      <c r="K37" s="15"/>
    </row>
    <row r="39" spans="1:11" x14ac:dyDescent="0.25">
      <c r="D39" s="14"/>
      <c r="E39" s="14"/>
      <c r="F39" s="14"/>
    </row>
    <row r="40" spans="1:11" x14ac:dyDescent="0.25">
      <c r="I40" s="15"/>
      <c r="K40" s="15"/>
    </row>
    <row r="41" spans="1:11" x14ac:dyDescent="0.25">
      <c r="I41" s="15"/>
      <c r="K41" s="15"/>
    </row>
    <row r="42" spans="1:11" x14ac:dyDescent="0.25">
      <c r="I42" s="15"/>
      <c r="K42" s="15"/>
    </row>
    <row r="43" spans="1:11" x14ac:dyDescent="0.25">
      <c r="I43" s="15"/>
      <c r="K43" s="15"/>
    </row>
    <row r="44" spans="1:11" x14ac:dyDescent="0.25">
      <c r="I44" s="15"/>
      <c r="K44" s="15"/>
    </row>
    <row r="45" spans="1:11" x14ac:dyDescent="0.25">
      <c r="I45" s="15"/>
      <c r="K45" s="15"/>
    </row>
    <row r="46" spans="1:11" x14ac:dyDescent="0.25">
      <c r="E46" s="31"/>
      <c r="F46" s="63"/>
      <c r="I46" s="15"/>
      <c r="K46" s="15"/>
    </row>
    <row r="47" spans="1:11" x14ac:dyDescent="0.25">
      <c r="E47" s="31"/>
      <c r="F47" s="32"/>
      <c r="I47" s="15"/>
      <c r="K47" s="15"/>
    </row>
    <row r="48" spans="1:11" x14ac:dyDescent="0.25">
      <c r="E48" s="31"/>
      <c r="F48" s="32"/>
      <c r="I48" s="15"/>
      <c r="K48" s="15"/>
    </row>
    <row r="49" spans="5:11" x14ac:dyDescent="0.25">
      <c r="E49" s="31"/>
      <c r="F49" s="64"/>
      <c r="I49" s="15"/>
      <c r="K49" s="15"/>
    </row>
    <row r="50" spans="5:11" x14ac:dyDescent="0.25">
      <c r="E50" s="31"/>
      <c r="I50" s="15"/>
      <c r="K50" s="15"/>
    </row>
    <row r="51" spans="5:11" x14ac:dyDescent="0.25">
      <c r="E51" s="31"/>
      <c r="I51" s="15"/>
      <c r="K51" s="15"/>
    </row>
    <row r="52" spans="5:11" x14ac:dyDescent="0.25">
      <c r="E52" s="31"/>
      <c r="I52" s="15"/>
      <c r="K52" s="15"/>
    </row>
    <row r="53" spans="5:11" x14ac:dyDescent="0.25">
      <c r="E53" s="31"/>
      <c r="I53" s="15"/>
      <c r="K53" s="15"/>
    </row>
    <row r="54" spans="5:11" x14ac:dyDescent="0.25">
      <c r="E54" s="31"/>
      <c r="F54" s="65"/>
      <c r="I54" s="15"/>
      <c r="K54" s="15"/>
    </row>
    <row r="55" spans="5:11" x14ac:dyDescent="0.25">
      <c r="E55" s="31"/>
      <c r="F55" s="32"/>
      <c r="I55" s="15"/>
      <c r="K55" s="15"/>
    </row>
    <row r="56" spans="5:11" x14ac:dyDescent="0.25">
      <c r="E56" s="31"/>
      <c r="F56" s="64"/>
      <c r="I56" s="15"/>
      <c r="K56" s="15"/>
    </row>
    <row r="57" spans="5:11" x14ac:dyDescent="0.25">
      <c r="E57" s="31"/>
      <c r="F57" s="31"/>
      <c r="I57" s="15"/>
      <c r="K57" s="15"/>
    </row>
    <row r="58" spans="5:11" x14ac:dyDescent="0.25">
      <c r="E58" s="31"/>
      <c r="F58" s="66"/>
      <c r="I58" s="15"/>
      <c r="K58" s="15"/>
    </row>
    <row r="59" spans="5:11" x14ac:dyDescent="0.25">
      <c r="E59" s="31"/>
      <c r="F59" s="66"/>
      <c r="I59" s="15"/>
      <c r="K59" s="15"/>
    </row>
    <row r="60" spans="5:11" x14ac:dyDescent="0.25">
      <c r="E60" s="31"/>
      <c r="F60" s="66"/>
      <c r="I60" s="15"/>
      <c r="K60" s="15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2" tint="-0.249977111117893"/>
  </sheetPr>
  <dimension ref="A1:Y32"/>
  <sheetViews>
    <sheetView workbookViewId="0">
      <selection activeCell="A3" sqref="A3:G16"/>
    </sheetView>
  </sheetViews>
  <sheetFormatPr defaultRowHeight="15" x14ac:dyDescent="0.25"/>
  <cols>
    <col min="1" max="1" width="14.5703125" bestFit="1" customWidth="1"/>
    <col min="2" max="2" width="14.5703125" customWidth="1"/>
  </cols>
  <sheetData>
    <row r="1" spans="1:25" x14ac:dyDescent="0.2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3" spans="1:25" x14ac:dyDescent="0.25">
      <c r="A3" s="67" t="s">
        <v>1</v>
      </c>
      <c r="B3" s="11"/>
      <c r="C3" s="68" t="s">
        <v>2</v>
      </c>
      <c r="D3" s="68"/>
      <c r="E3" s="68" t="s">
        <v>3</v>
      </c>
      <c r="F3" s="68"/>
      <c r="G3" s="68" t="s">
        <v>4</v>
      </c>
      <c r="H3" s="68"/>
      <c r="I3" s="68" t="s">
        <v>5</v>
      </c>
      <c r="J3" s="68"/>
      <c r="K3" s="68" t="s">
        <v>6</v>
      </c>
      <c r="L3" s="68"/>
      <c r="M3" s="68" t="s">
        <v>7</v>
      </c>
      <c r="N3" s="68"/>
      <c r="O3" s="68" t="s">
        <v>8</v>
      </c>
      <c r="P3" s="68"/>
      <c r="Q3" s="68" t="s">
        <v>9</v>
      </c>
      <c r="R3" s="68"/>
      <c r="S3" s="68" t="s">
        <v>10</v>
      </c>
      <c r="T3" s="68"/>
      <c r="U3" s="68" t="s">
        <v>11</v>
      </c>
      <c r="V3" s="68"/>
      <c r="W3" s="68" t="s">
        <v>12</v>
      </c>
      <c r="X3" s="68"/>
      <c r="Y3" s="68" t="s">
        <v>13</v>
      </c>
    </row>
    <row r="4" spans="1:25" x14ac:dyDescent="0.25">
      <c r="A4" s="69" t="s">
        <v>14</v>
      </c>
      <c r="B4" s="10"/>
      <c r="C4" s="70">
        <v>50140</v>
      </c>
      <c r="D4" s="70"/>
      <c r="E4" s="70">
        <v>38830</v>
      </c>
      <c r="F4" s="70"/>
      <c r="G4" s="70">
        <v>81600</v>
      </c>
      <c r="H4" s="70"/>
      <c r="I4" s="70">
        <v>57380</v>
      </c>
      <c r="J4" s="70"/>
      <c r="K4" s="70">
        <v>47920</v>
      </c>
      <c r="L4" s="70"/>
      <c r="M4" s="70">
        <v>42180</v>
      </c>
      <c r="N4" s="70"/>
      <c r="O4" s="70">
        <v>44040</v>
      </c>
      <c r="P4" s="70"/>
      <c r="Q4" s="70">
        <v>59090</v>
      </c>
      <c r="R4" s="70"/>
      <c r="S4" s="70">
        <v>66130</v>
      </c>
      <c r="T4" s="70"/>
      <c r="U4" s="70">
        <v>62190</v>
      </c>
      <c r="V4" s="70"/>
      <c r="W4" s="70">
        <v>64990</v>
      </c>
      <c r="X4" s="70"/>
      <c r="Y4" s="70">
        <v>42240</v>
      </c>
    </row>
    <row r="5" spans="1:25" x14ac:dyDescent="0.25">
      <c r="A5" s="13"/>
      <c r="B5" s="1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 spans="1:25" x14ac:dyDescent="0.25">
      <c r="A6" s="71" t="s">
        <v>15</v>
      </c>
      <c r="B6" s="10"/>
      <c r="C6" s="70">
        <v>31480</v>
      </c>
      <c r="D6" s="70"/>
      <c r="E6" s="70">
        <v>47830</v>
      </c>
      <c r="F6" s="70"/>
      <c r="G6" s="70">
        <v>76310</v>
      </c>
      <c r="H6" s="70"/>
      <c r="I6" s="70">
        <v>59810</v>
      </c>
      <c r="J6" s="70"/>
      <c r="K6" s="70">
        <v>54760</v>
      </c>
      <c r="L6" s="70"/>
      <c r="M6" s="70">
        <v>48020</v>
      </c>
      <c r="N6" s="70"/>
      <c r="O6" s="70">
        <v>35510</v>
      </c>
      <c r="P6" s="70"/>
      <c r="Q6" s="70">
        <v>35120</v>
      </c>
      <c r="R6" s="70"/>
      <c r="S6" s="70">
        <v>68540</v>
      </c>
      <c r="T6" s="70"/>
      <c r="U6" s="70">
        <v>55860</v>
      </c>
      <c r="V6" s="70"/>
      <c r="W6" s="70">
        <v>24640</v>
      </c>
      <c r="X6" s="70"/>
      <c r="Y6" s="70">
        <v>58220</v>
      </c>
    </row>
    <row r="7" spans="1:25" x14ac:dyDescent="0.25">
      <c r="A7" s="71"/>
      <c r="B7" s="1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</row>
    <row r="8" spans="1:25" x14ac:dyDescent="0.25">
      <c r="A8" s="71" t="s">
        <v>16</v>
      </c>
      <c r="B8" s="10"/>
      <c r="C8" s="70">
        <v>30740</v>
      </c>
      <c r="D8" s="70"/>
      <c r="E8" s="70">
        <v>36620</v>
      </c>
      <c r="F8" s="70"/>
      <c r="G8" s="70">
        <v>76920</v>
      </c>
      <c r="H8" s="70"/>
      <c r="I8" s="70">
        <v>78690</v>
      </c>
      <c r="J8" s="70"/>
      <c r="K8" s="70">
        <v>53670</v>
      </c>
      <c r="L8" s="70"/>
      <c r="M8" s="70">
        <v>49660</v>
      </c>
      <c r="N8" s="70"/>
      <c r="O8" s="70">
        <v>47920</v>
      </c>
      <c r="P8" s="70"/>
      <c r="Q8" s="70">
        <v>87950</v>
      </c>
      <c r="R8" s="70"/>
      <c r="S8" s="70">
        <v>81640</v>
      </c>
      <c r="T8" s="70"/>
      <c r="U8" s="70">
        <v>54810</v>
      </c>
      <c r="V8" s="70"/>
      <c r="W8" s="70">
        <v>55600</v>
      </c>
      <c r="X8" s="70"/>
      <c r="Y8" s="70">
        <v>45490</v>
      </c>
    </row>
    <row r="9" spans="1:25" x14ac:dyDescent="0.25">
      <c r="A9" s="71"/>
      <c r="B9" s="1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spans="1:25" x14ac:dyDescent="0.25">
      <c r="A10" s="71" t="s">
        <v>17</v>
      </c>
      <c r="B10" s="10"/>
      <c r="C10" s="70">
        <v>40190</v>
      </c>
      <c r="D10" s="70"/>
      <c r="E10" s="70">
        <v>57190</v>
      </c>
      <c r="F10" s="70"/>
      <c r="G10" s="70">
        <v>57110</v>
      </c>
      <c r="H10" s="70"/>
      <c r="I10" s="70">
        <v>65430</v>
      </c>
      <c r="J10" s="70"/>
      <c r="K10" s="70">
        <v>52390</v>
      </c>
      <c r="L10" s="70"/>
      <c r="M10" s="70">
        <v>32860</v>
      </c>
      <c r="N10" s="70"/>
      <c r="O10" s="70">
        <v>37680</v>
      </c>
      <c r="P10" s="70"/>
      <c r="Q10" s="70">
        <v>68750</v>
      </c>
      <c r="R10" s="70"/>
      <c r="S10" s="70">
        <v>81310</v>
      </c>
      <c r="T10" s="70"/>
      <c r="U10" s="70">
        <v>57810</v>
      </c>
      <c r="V10" s="70"/>
      <c r="W10" s="70">
        <v>82200</v>
      </c>
      <c r="X10" s="70"/>
      <c r="Y10" s="70">
        <v>35570</v>
      </c>
    </row>
    <row r="11" spans="1:25" x14ac:dyDescent="0.25">
      <c r="A11" s="71"/>
      <c r="B11" s="1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x14ac:dyDescent="0.25">
      <c r="A12" s="71" t="s">
        <v>18</v>
      </c>
      <c r="B12" s="10"/>
      <c r="C12" s="70">
        <v>41240</v>
      </c>
      <c r="D12" s="70"/>
      <c r="E12" s="70">
        <v>64070</v>
      </c>
      <c r="F12" s="70"/>
      <c r="G12" s="70">
        <v>48750</v>
      </c>
      <c r="H12" s="70"/>
      <c r="I12" s="70">
        <v>48400</v>
      </c>
      <c r="J12" s="70"/>
      <c r="K12" s="70">
        <v>47450</v>
      </c>
      <c r="L12" s="70"/>
      <c r="M12" s="70">
        <v>56910</v>
      </c>
      <c r="N12" s="70"/>
      <c r="O12" s="70">
        <v>58660</v>
      </c>
      <c r="P12" s="70"/>
      <c r="Q12" s="70">
        <v>46070</v>
      </c>
      <c r="R12" s="70"/>
      <c r="S12" s="70">
        <v>61700</v>
      </c>
      <c r="T12" s="70"/>
      <c r="U12" s="70">
        <v>49570</v>
      </c>
      <c r="V12" s="70"/>
      <c r="W12" s="70">
        <v>53150</v>
      </c>
      <c r="X12" s="70"/>
      <c r="Y12" s="70">
        <v>69580</v>
      </c>
    </row>
    <row r="13" spans="1:25" x14ac:dyDescent="0.25">
      <c r="A13" s="71"/>
      <c r="B13" s="1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</row>
    <row r="14" spans="1:25" x14ac:dyDescent="0.25">
      <c r="A14" s="71" t="s">
        <v>19</v>
      </c>
      <c r="B14" s="10"/>
      <c r="C14" s="70">
        <v>45260</v>
      </c>
      <c r="D14" s="70"/>
      <c r="E14" s="70">
        <v>56930</v>
      </c>
      <c r="F14" s="70"/>
      <c r="G14" s="70">
        <v>70990</v>
      </c>
      <c r="H14" s="70"/>
      <c r="I14" s="70">
        <v>78850</v>
      </c>
      <c r="J14" s="70"/>
      <c r="K14" s="70">
        <v>48320</v>
      </c>
      <c r="L14" s="70"/>
      <c r="M14" s="70">
        <v>33430</v>
      </c>
      <c r="N14" s="70"/>
      <c r="O14" s="70">
        <v>39510</v>
      </c>
      <c r="P14" s="70"/>
      <c r="Q14" s="70">
        <v>29670</v>
      </c>
      <c r="R14" s="70"/>
      <c r="S14" s="70">
        <v>85780</v>
      </c>
      <c r="T14" s="70"/>
      <c r="U14" s="70">
        <v>54220</v>
      </c>
      <c r="V14" s="70"/>
      <c r="W14" s="70">
        <v>52210</v>
      </c>
      <c r="X14" s="70"/>
      <c r="Y14" s="70">
        <v>33610</v>
      </c>
    </row>
    <row r="15" spans="1:25" x14ac:dyDescent="0.25">
      <c r="A15" s="71"/>
      <c r="B15" s="1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</row>
    <row r="16" spans="1:25" x14ac:dyDescent="0.25">
      <c r="A16" s="71" t="s">
        <v>20</v>
      </c>
      <c r="B16" s="10"/>
      <c r="C16" s="70">
        <v>28925</v>
      </c>
      <c r="D16" s="70"/>
      <c r="E16" s="70">
        <v>23322</v>
      </c>
      <c r="F16" s="70"/>
      <c r="G16" s="70">
        <v>27350</v>
      </c>
      <c r="H16" s="70"/>
      <c r="I16" s="70">
        <v>28064</v>
      </c>
      <c r="J16" s="70"/>
      <c r="K16" s="70">
        <v>18881</v>
      </c>
      <c r="L16" s="70"/>
      <c r="M16" s="70">
        <v>28811</v>
      </c>
      <c r="N16" s="70"/>
      <c r="O16" s="70">
        <v>21452</v>
      </c>
      <c r="P16" s="70"/>
      <c r="Q16" s="70">
        <v>24110</v>
      </c>
      <c r="R16" s="70"/>
      <c r="S16" s="70">
        <v>21530</v>
      </c>
      <c r="T16" s="70"/>
      <c r="U16" s="70">
        <v>22241</v>
      </c>
      <c r="V16" s="70"/>
      <c r="W16" s="70">
        <v>26303</v>
      </c>
      <c r="X16" s="70"/>
      <c r="Y16" s="70">
        <v>18714</v>
      </c>
    </row>
    <row r="17" spans="1:25" x14ac:dyDescent="0.25">
      <c r="A17" s="71"/>
      <c r="B17" s="1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</row>
    <row r="18" spans="1:25" x14ac:dyDescent="0.25">
      <c r="A18" s="71" t="s">
        <v>21</v>
      </c>
      <c r="B18" s="10"/>
      <c r="C18" s="70">
        <v>47291</v>
      </c>
      <c r="D18" s="70"/>
      <c r="E18" s="70">
        <v>44876</v>
      </c>
      <c r="F18" s="70"/>
      <c r="G18" s="70">
        <v>27490</v>
      </c>
      <c r="H18" s="70"/>
      <c r="I18" s="70">
        <v>45109</v>
      </c>
      <c r="J18" s="70"/>
      <c r="K18" s="70">
        <v>49582</v>
      </c>
      <c r="L18" s="70"/>
      <c r="M18" s="70">
        <v>26641</v>
      </c>
      <c r="N18" s="70"/>
      <c r="O18" s="70">
        <v>43764</v>
      </c>
      <c r="P18" s="70"/>
      <c r="Q18" s="70">
        <v>43795</v>
      </c>
      <c r="R18" s="70"/>
      <c r="S18" s="70">
        <v>46280</v>
      </c>
      <c r="T18" s="70"/>
      <c r="U18" s="70">
        <v>50576</v>
      </c>
      <c r="V18" s="70"/>
      <c r="W18" s="70">
        <v>27918</v>
      </c>
      <c r="X18" s="70"/>
      <c r="Y18" s="70">
        <v>25338</v>
      </c>
    </row>
    <row r="19" spans="1:25" x14ac:dyDescent="0.25">
      <c r="A19" s="71"/>
      <c r="B19" s="1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</row>
    <row r="20" spans="1:25" x14ac:dyDescent="0.25">
      <c r="A20" s="71" t="s">
        <v>22</v>
      </c>
      <c r="B20" s="10"/>
      <c r="C20" s="70">
        <v>71131</v>
      </c>
      <c r="D20" s="70"/>
      <c r="E20" s="70">
        <v>78460</v>
      </c>
      <c r="F20" s="70"/>
      <c r="G20" s="70">
        <v>69602</v>
      </c>
      <c r="H20" s="70"/>
      <c r="I20" s="70">
        <v>62960</v>
      </c>
      <c r="J20" s="70"/>
      <c r="K20" s="70">
        <v>57386</v>
      </c>
      <c r="L20" s="70"/>
      <c r="M20" s="70">
        <v>56574</v>
      </c>
      <c r="N20" s="70"/>
      <c r="O20" s="70">
        <v>79891</v>
      </c>
      <c r="P20" s="70"/>
      <c r="Q20" s="70">
        <v>58691</v>
      </c>
      <c r="R20" s="70"/>
      <c r="S20" s="70">
        <v>65578</v>
      </c>
      <c r="T20" s="70"/>
      <c r="U20" s="70">
        <v>68072</v>
      </c>
      <c r="V20" s="70"/>
      <c r="W20" s="70">
        <v>69637</v>
      </c>
      <c r="X20" s="70"/>
      <c r="Y20" s="70">
        <v>72311</v>
      </c>
    </row>
    <row r="21" spans="1:25" x14ac:dyDescent="0.25">
      <c r="A21" s="71"/>
      <c r="B21" s="1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</row>
    <row r="22" spans="1:25" x14ac:dyDescent="0.25">
      <c r="A22" s="71" t="s">
        <v>23</v>
      </c>
      <c r="B22" s="10"/>
      <c r="C22" s="70">
        <v>39194</v>
      </c>
      <c r="D22" s="70"/>
      <c r="E22" s="70">
        <v>33293</v>
      </c>
      <c r="F22" s="70"/>
      <c r="G22" s="70">
        <v>44795</v>
      </c>
      <c r="H22" s="70"/>
      <c r="I22" s="70">
        <v>33410</v>
      </c>
      <c r="J22" s="70"/>
      <c r="K22" s="70">
        <v>47494</v>
      </c>
      <c r="L22" s="70"/>
      <c r="M22" s="70">
        <v>23965</v>
      </c>
      <c r="N22" s="70"/>
      <c r="O22" s="70">
        <v>22399</v>
      </c>
      <c r="P22" s="70"/>
      <c r="Q22" s="70">
        <v>45438</v>
      </c>
      <c r="R22" s="70"/>
      <c r="S22" s="70">
        <v>34716</v>
      </c>
      <c r="T22" s="70"/>
      <c r="U22" s="70">
        <v>47804</v>
      </c>
      <c r="V22" s="70"/>
      <c r="W22" s="70">
        <v>27472</v>
      </c>
      <c r="X22" s="70"/>
      <c r="Y22" s="70">
        <v>29641</v>
      </c>
    </row>
    <row r="23" spans="1:25" x14ac:dyDescent="0.25">
      <c r="A23" s="71"/>
      <c r="B23" s="1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</row>
    <row r="24" spans="1:25" x14ac:dyDescent="0.25">
      <c r="A24" s="71" t="s">
        <v>24</v>
      </c>
      <c r="B24" s="10"/>
      <c r="C24" s="70">
        <v>40420</v>
      </c>
      <c r="D24" s="70"/>
      <c r="E24" s="70">
        <v>65590</v>
      </c>
      <c r="F24" s="70"/>
      <c r="G24" s="70">
        <v>53080</v>
      </c>
      <c r="H24" s="70"/>
      <c r="I24" s="70">
        <v>62920</v>
      </c>
      <c r="J24" s="70"/>
      <c r="K24" s="70">
        <v>48840</v>
      </c>
      <c r="L24" s="70"/>
      <c r="M24" s="70">
        <v>38740</v>
      </c>
      <c r="N24" s="70"/>
      <c r="O24" s="70">
        <v>49620</v>
      </c>
      <c r="P24" s="70"/>
      <c r="Q24" s="70">
        <v>35320</v>
      </c>
      <c r="R24" s="70"/>
      <c r="S24" s="70">
        <v>38850</v>
      </c>
      <c r="T24" s="70"/>
      <c r="U24" s="70">
        <v>49130</v>
      </c>
      <c r="V24" s="70"/>
      <c r="W24" s="70">
        <v>36620</v>
      </c>
      <c r="X24" s="70"/>
      <c r="Y24" s="70">
        <v>81260</v>
      </c>
    </row>
    <row r="25" spans="1:25" x14ac:dyDescent="0.25">
      <c r="A25" s="12"/>
      <c r="B25" s="1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</row>
    <row r="26" spans="1:25" x14ac:dyDescent="0.25">
      <c r="A26" s="72" t="s">
        <v>25</v>
      </c>
      <c r="B26" s="10"/>
      <c r="C26" s="44">
        <v>39556</v>
      </c>
      <c r="D26" s="44"/>
      <c r="E26" s="44">
        <v>65770</v>
      </c>
      <c r="F26" s="44"/>
      <c r="G26" s="44">
        <v>45200</v>
      </c>
      <c r="H26" s="44"/>
      <c r="I26" s="44">
        <v>45296</v>
      </c>
      <c r="J26" s="44"/>
      <c r="K26" s="44">
        <v>52867</v>
      </c>
      <c r="L26" s="44"/>
      <c r="M26" s="44">
        <v>26836</v>
      </c>
      <c r="N26" s="44"/>
      <c r="O26" s="44">
        <v>21810</v>
      </c>
      <c r="P26" s="44"/>
      <c r="Q26" s="44">
        <v>59406</v>
      </c>
      <c r="R26" s="44"/>
      <c r="S26" s="44">
        <v>46747</v>
      </c>
      <c r="T26" s="44"/>
      <c r="U26" s="44">
        <v>22500</v>
      </c>
      <c r="V26" s="44"/>
      <c r="W26" s="44">
        <v>27598</v>
      </c>
      <c r="X26" s="44"/>
      <c r="Y26" s="44">
        <v>81443</v>
      </c>
    </row>
    <row r="28" spans="1:25" x14ac:dyDescent="0.25">
      <c r="A28" s="45"/>
      <c r="B28" s="45"/>
      <c r="C28" s="70"/>
      <c r="D28" s="70"/>
    </row>
    <row r="29" spans="1:25" x14ac:dyDescent="0.25">
      <c r="A29" s="45"/>
      <c r="B29" s="45"/>
      <c r="C29" s="70"/>
      <c r="D29" s="70"/>
    </row>
    <row r="30" spans="1:25" x14ac:dyDescent="0.25">
      <c r="A30" s="45"/>
      <c r="B30" s="45"/>
      <c r="C30" s="70"/>
      <c r="D30" s="70"/>
    </row>
    <row r="31" spans="1:25" x14ac:dyDescent="0.25">
      <c r="A31" s="45"/>
      <c r="B31" s="45"/>
      <c r="C31" s="70"/>
      <c r="D31" s="70"/>
    </row>
    <row r="32" spans="1:25" x14ac:dyDescent="0.25">
      <c r="A32" s="45"/>
      <c r="B32" s="45"/>
      <c r="C32" s="44"/>
      <c r="D32" s="44"/>
    </row>
  </sheetData>
  <mergeCells count="1">
    <mergeCell ref="A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LocateFormulas</vt:lpstr>
      <vt:lpstr>AuditingTools</vt:lpstr>
      <vt:lpstr>RemovingBlankRows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KIPROP</dc:creator>
  <cp:lastModifiedBy>BRIAN KIPROP</cp:lastModifiedBy>
  <dcterms:created xsi:type="dcterms:W3CDTF">2015-06-05T18:17:20Z</dcterms:created>
  <dcterms:modified xsi:type="dcterms:W3CDTF">2023-11-29T16:16:00Z</dcterms:modified>
</cp:coreProperties>
</file>