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8800" windowHeight="12330"/>
  </bookViews>
  <sheets>
    <sheet name="Caratula" sheetId="1" r:id="rId1"/>
    <sheet name="Datos" sheetId="2" r:id="rId2"/>
    <sheet name="FC" sheetId="3" r:id="rId3"/>
    <sheet name="VAN" sheetId="4" r:id="rId4"/>
    <sheet name="GyP" sheetId="5" r:id="rId5"/>
    <sheet name="Depreciacion" sheetId="6" r:id="rId6"/>
    <sheet name="Amortizacion" sheetId="7" r:id="rId7"/>
    <sheet name="Periodo de Recupero" sheetId="8" r:id="rId8"/>
    <sheet name="Conclusion" sheetId="9" r:id="rId9"/>
  </sheets>
  <calcPr calcId="162913"/>
</workbook>
</file>

<file path=xl/calcChain.xml><?xml version="1.0" encoding="utf-8"?>
<calcChain xmlns="http://schemas.openxmlformats.org/spreadsheetml/2006/main">
  <c r="M7" i="6" l="1"/>
  <c r="G18" i="6"/>
  <c r="M16" i="6"/>
  <c r="M10" i="6"/>
  <c r="M11" i="6"/>
  <c r="M12" i="6"/>
  <c r="M9" i="6"/>
  <c r="M18" i="6"/>
  <c r="F8" i="8"/>
  <c r="F14" i="7"/>
  <c r="C9" i="7"/>
  <c r="B9" i="7"/>
  <c r="D16" i="6"/>
  <c r="D11" i="6"/>
  <c r="D12" i="6"/>
  <c r="D10" i="6"/>
  <c r="D9" i="6"/>
  <c r="F9" i="6"/>
  <c r="H9" i="6" s="1"/>
  <c r="G12" i="6"/>
  <c r="F10" i="6"/>
  <c r="J10" i="6" s="1"/>
  <c r="F11" i="6"/>
  <c r="H11" i="6" s="1"/>
  <c r="F12" i="6"/>
  <c r="I12" i="6" s="1"/>
  <c r="F16" i="6"/>
  <c r="K16" i="6" s="1"/>
  <c r="E56" i="2"/>
  <c r="J16" i="6" l="1"/>
  <c r="I16" i="6"/>
  <c r="G16" i="6"/>
  <c r="H16" i="6"/>
  <c r="H12" i="6"/>
  <c r="K12" i="6"/>
  <c r="J12" i="6"/>
  <c r="K11" i="6"/>
  <c r="J11" i="6"/>
  <c r="I11" i="6"/>
  <c r="G11" i="6"/>
  <c r="H10" i="6"/>
  <c r="I10" i="6"/>
  <c r="G10" i="6"/>
  <c r="K10" i="6"/>
  <c r="I9" i="6"/>
  <c r="K9" i="6"/>
  <c r="J9" i="6"/>
  <c r="G9" i="6"/>
  <c r="B62" i="3" l="1" a="1"/>
  <c r="B64" i="3" a="1"/>
  <c r="B59" i="3" a="1"/>
  <c r="F6" i="9"/>
  <c r="B13" i="7" l="1"/>
  <c r="C13" i="7"/>
  <c r="D13" i="7"/>
  <c r="C14" i="7"/>
  <c r="E13" i="7"/>
  <c r="G7" i="6"/>
  <c r="G20" i="5"/>
  <c r="F20" i="5"/>
  <c r="E20" i="5"/>
  <c r="D20" i="5"/>
  <c r="C20" i="5"/>
  <c r="E11" i="4"/>
  <c r="D11" i="4"/>
  <c r="F13" i="9" l="1"/>
  <c r="F8" i="9"/>
  <c r="F11" i="9"/>
  <c r="B16" i="7"/>
  <c r="F13" i="7"/>
  <c r="B18" i="7"/>
  <c r="H14" i="6"/>
  <c r="G14" i="6"/>
  <c r="L7" i="6"/>
  <c r="L18" i="6" s="1"/>
  <c r="G39" i="5"/>
  <c r="F39" i="5"/>
  <c r="E39" i="5"/>
  <c r="D39" i="5"/>
  <c r="C39" i="5"/>
  <c r="G37" i="5"/>
  <c r="F33" i="5"/>
  <c r="F37" i="5" s="1"/>
  <c r="E33" i="5"/>
  <c r="E37" i="5" s="1"/>
  <c r="D33" i="5"/>
  <c r="D37" i="5" s="1"/>
  <c r="C33" i="5"/>
  <c r="C37" i="5" s="1"/>
  <c r="G13" i="5"/>
  <c r="F13" i="5"/>
  <c r="E13" i="5"/>
  <c r="D13" i="5"/>
  <c r="C13" i="5"/>
  <c r="G11" i="5"/>
  <c r="F7" i="5"/>
  <c r="F11" i="5" s="1"/>
  <c r="E7" i="5"/>
  <c r="E11" i="5" s="1"/>
  <c r="D7" i="5"/>
  <c r="D11" i="5" s="1"/>
  <c r="C7" i="5"/>
  <c r="C11" i="5" s="1"/>
  <c r="D35" i="4"/>
  <c r="D34" i="4"/>
  <c r="D33" i="4"/>
  <c r="D32" i="4"/>
  <c r="D31" i="4"/>
  <c r="D30" i="4"/>
  <c r="D16" i="4"/>
  <c r="D15" i="4"/>
  <c r="D14" i="4"/>
  <c r="D13" i="4"/>
  <c r="D12" i="4"/>
  <c r="G30" i="3"/>
  <c r="F30" i="3"/>
  <c r="E30" i="3"/>
  <c r="D30" i="3"/>
  <c r="C30" i="3"/>
  <c r="G27" i="3"/>
  <c r="F27" i="3"/>
  <c r="E27" i="3"/>
  <c r="D27" i="3"/>
  <c r="C27" i="3"/>
  <c r="C22" i="3"/>
  <c r="B21" i="3"/>
  <c r="B15" i="3"/>
  <c r="B14" i="3"/>
  <c r="B26" i="3" s="1"/>
  <c r="E68" i="2"/>
  <c r="E49" i="2"/>
  <c r="E46" i="2"/>
  <c r="E39" i="2"/>
  <c r="E29" i="2"/>
  <c r="F23" i="2"/>
  <c r="F16" i="2"/>
  <c r="F7" i="2"/>
  <c r="H7" i="6" l="1"/>
  <c r="H18" i="6" s="1"/>
  <c r="C42" i="5"/>
  <c r="C44" i="5" s="1"/>
  <c r="C16" i="5"/>
  <c r="C18" i="5" s="1"/>
  <c r="C22" i="5" s="1"/>
  <c r="C21" i="3"/>
  <c r="B25" i="3"/>
  <c r="D22" i="3"/>
  <c r="B13" i="3"/>
  <c r="I14" i="6"/>
  <c r="C42" i="3"/>
  <c r="B15" i="7"/>
  <c r="B17" i="7"/>
  <c r="B14" i="7"/>
  <c r="C24" i="5" l="1"/>
  <c r="C26" i="5" s="1"/>
  <c r="D42" i="5"/>
  <c r="D44" i="5" s="1"/>
  <c r="D16" i="5"/>
  <c r="D18" i="5" s="1"/>
  <c r="D22" i="5" s="1"/>
  <c r="J14" i="6"/>
  <c r="K14" i="6"/>
  <c r="F40" i="3"/>
  <c r="G40" i="3"/>
  <c r="E40" i="3"/>
  <c r="D14" i="7"/>
  <c r="E14" i="7" s="1"/>
  <c r="D40" i="3"/>
  <c r="C40" i="3"/>
  <c r="I7" i="6"/>
  <c r="I18" i="6" s="1"/>
  <c r="B12" i="3"/>
  <c r="B36" i="3"/>
  <c r="C46" i="5"/>
  <c r="E22" i="3"/>
  <c r="E21" i="3" s="1"/>
  <c r="D21" i="3"/>
  <c r="C33" i="3" l="1"/>
  <c r="C12" i="3" s="1"/>
  <c r="C36" i="3" s="1"/>
  <c r="C12" i="4" s="1"/>
  <c r="E12" i="4" s="1"/>
  <c r="D46" i="5"/>
  <c r="D33" i="3" s="1"/>
  <c r="D12" i="3" s="1"/>
  <c r="D36" i="3" s="1"/>
  <c r="C11" i="4"/>
  <c r="B52" i="3"/>
  <c r="B44" i="3"/>
  <c r="C15" i="7"/>
  <c r="E16" i="5"/>
  <c r="E18" i="5" s="1"/>
  <c r="E22" i="5" s="1"/>
  <c r="E42" i="5"/>
  <c r="E44" i="5" s="1"/>
  <c r="C48" i="5"/>
  <c r="J7" i="6"/>
  <c r="J18" i="6" s="1"/>
  <c r="K7" i="6"/>
  <c r="K18" i="6" s="1"/>
  <c r="D24" i="5"/>
  <c r="D26" i="5" s="1"/>
  <c r="F22" i="3"/>
  <c r="C52" i="3" l="1"/>
  <c r="C44" i="3"/>
  <c r="C53" i="3" s="1"/>
  <c r="D52" i="3"/>
  <c r="E4" i="8" s="1"/>
  <c r="C13" i="4"/>
  <c r="E13" i="4" s="1"/>
  <c r="F21" i="3"/>
  <c r="G22" i="3"/>
  <c r="G21" i="3" s="1"/>
  <c r="F15" i="7"/>
  <c r="D42" i="3" s="1"/>
  <c r="D44" i="3" s="1"/>
  <c r="D15" i="7"/>
  <c r="E15" i="7" s="1"/>
  <c r="G42" i="5"/>
  <c r="G44" i="5" s="1"/>
  <c r="G16" i="5"/>
  <c r="G18" i="5" s="1"/>
  <c r="G22" i="5" s="1"/>
  <c r="F16" i="5"/>
  <c r="F18" i="5" s="1"/>
  <c r="F22" i="5" s="1"/>
  <c r="F42" i="5"/>
  <c r="F44" i="5" s="1"/>
  <c r="D4" i="8"/>
  <c r="D5" i="8" s="1"/>
  <c r="E46" i="5"/>
  <c r="E33" i="3" s="1"/>
  <c r="E12" i="3" s="1"/>
  <c r="E36" i="3" s="1"/>
  <c r="C30" i="4"/>
  <c r="E30" i="4" s="1"/>
  <c r="B53" i="3"/>
  <c r="E24" i="5"/>
  <c r="E26" i="5" s="1"/>
  <c r="C4" i="8"/>
  <c r="D48" i="5"/>
  <c r="C31" i="4" l="1"/>
  <c r="E31" i="4" s="1"/>
  <c r="D53" i="3"/>
  <c r="E16" i="8" s="1"/>
  <c r="C32" i="4"/>
  <c r="E32" i="4" s="1"/>
  <c r="D16" i="8"/>
  <c r="E52" i="3"/>
  <c r="C14" i="4"/>
  <c r="E14" i="4" s="1"/>
  <c r="G46" i="5"/>
  <c r="G33" i="3" s="1"/>
  <c r="G12" i="3" s="1"/>
  <c r="G36" i="3" s="1"/>
  <c r="F46" i="5"/>
  <c r="F33" i="3" s="1"/>
  <c r="F12" i="3" s="1"/>
  <c r="F36" i="3" s="1"/>
  <c r="C16" i="7"/>
  <c r="C16" i="8"/>
  <c r="F24" i="5"/>
  <c r="F26" i="5" s="1"/>
  <c r="E48" i="5"/>
  <c r="C8" i="8"/>
  <c r="G24" i="5"/>
  <c r="G26" i="5" s="1"/>
  <c r="E5" i="8"/>
  <c r="C9" i="8"/>
  <c r="G48" i="5" l="1"/>
  <c r="F48" i="5"/>
  <c r="C10" i="8"/>
  <c r="C11" i="8" s="1"/>
  <c r="B60" i="3" s="1"/>
  <c r="C15" i="4"/>
  <c r="E15" i="4" s="1"/>
  <c r="F52" i="3"/>
  <c r="F16" i="7"/>
  <c r="E42" i="3" s="1"/>
  <c r="E44" i="3" s="1"/>
  <c r="D16" i="7"/>
  <c r="E16" i="7" s="1"/>
  <c r="F4" i="8"/>
  <c r="E17" i="8"/>
  <c r="C21" i="8"/>
  <c r="C16" i="4"/>
  <c r="E16" i="4" s="1"/>
  <c r="G52" i="3"/>
  <c r="H4" i="8" s="1"/>
  <c r="D17" i="8"/>
  <c r="C20" i="8" s="1"/>
  <c r="G4" i="8" l="1"/>
  <c r="B57" i="3"/>
  <c r="D5" i="9" s="1"/>
  <c r="E17" i="4"/>
  <c r="B58" i="3"/>
  <c r="D6" i="9" s="1"/>
  <c r="B59" i="3"/>
  <c r="D7" i="9" s="1"/>
  <c r="C22" i="8"/>
  <c r="C23" i="8" s="1"/>
  <c r="B65" i="3" s="1"/>
  <c r="D13" i="9" s="1"/>
  <c r="F9" i="8"/>
  <c r="D8" i="9"/>
  <c r="C17" i="7"/>
  <c r="C33" i="4"/>
  <c r="E33" i="4" s="1"/>
  <c r="E53" i="3"/>
  <c r="F20" i="8" l="1"/>
  <c r="F21" i="8" s="1"/>
  <c r="F22" i="8" s="1"/>
  <c r="F23" i="8" s="1"/>
  <c r="F10" i="8"/>
  <c r="F11" i="8" s="1"/>
  <c r="F16" i="8"/>
  <c r="F17" i="7"/>
  <c r="F42" i="3" s="1"/>
  <c r="F44" i="3" s="1"/>
  <c r="D17" i="7"/>
  <c r="E17" i="7" s="1"/>
  <c r="C18" i="7" l="1"/>
  <c r="C34" i="4"/>
  <c r="E34" i="4" s="1"/>
  <c r="F53" i="3"/>
  <c r="G16" i="8" l="1"/>
  <c r="F18" i="7"/>
  <c r="G42" i="3" s="1"/>
  <c r="G44" i="3" s="1"/>
  <c r="D18" i="7"/>
  <c r="E18" i="7" s="1"/>
  <c r="G53" i="3" l="1"/>
  <c r="C35" i="4"/>
  <c r="E35" i="4" s="1"/>
  <c r="E36" i="4" s="1"/>
  <c r="B64" i="3" l="1"/>
  <c r="D12" i="9" s="1"/>
  <c r="B63" i="3"/>
  <c r="D11" i="9" s="1"/>
  <c r="B62" i="3"/>
  <c r="D10" i="9" s="1"/>
  <c r="H16" i="8"/>
</calcChain>
</file>

<file path=xl/sharedStrings.xml><?xml version="1.0" encoding="utf-8"?>
<sst xmlns="http://schemas.openxmlformats.org/spreadsheetml/2006/main" count="295" uniqueCount="223">
  <si>
    <t xml:space="preserve">UNIVERSIDAD NACIONAL SAN ANTONIO ABAD  DEL CUSCO </t>
  </si>
  <si>
    <t>FACULTAD DE CIENCIAS ADMINISTRATIVAS, CONTABLES, ECONÓMICAS Y TURISMO</t>
  </si>
  <si>
    <t xml:space="preserve">ESCUELA PROFESIONAL DE CIENCIAS ADMINISTRATIVAS </t>
  </si>
  <si>
    <t>CURSO</t>
  </si>
  <si>
    <t xml:space="preserve">CALCULO BANCARIO Y FINANCIERO </t>
  </si>
  <si>
    <t>PROFESOR</t>
  </si>
  <si>
    <t xml:space="preserve">WILMER FLOREZ GARCIA </t>
  </si>
  <si>
    <t>TERRENOS Y OBRAS CIVILES</t>
  </si>
  <si>
    <t>CONCEPTOS</t>
  </si>
  <si>
    <t>UNIDAD</t>
  </si>
  <si>
    <t>METRADOS</t>
  </si>
  <si>
    <t>COSTO UNITARIO</t>
  </si>
  <si>
    <t>COSTO TOTAL</t>
  </si>
  <si>
    <t>I. TERRENOS</t>
  </si>
  <si>
    <t>m2</t>
  </si>
  <si>
    <t>II. INFRAESTRUCTURA PRINCIPAL</t>
  </si>
  <si>
    <t>Area de recepcion de materia prima</t>
  </si>
  <si>
    <t>Planta de procesamiento(desculpado, fermentacion,envasado)</t>
  </si>
  <si>
    <t>Almacen de producto terminado</t>
  </si>
  <si>
    <t>Area administrativas(imcluido baños)</t>
  </si>
  <si>
    <t>Control de calidad</t>
  </si>
  <si>
    <t>Vestuario y SS.HH. Obreros</t>
  </si>
  <si>
    <t>Patio de maniobras (descargar+despacho)</t>
  </si>
  <si>
    <t>III. INFRAESTRUCTURA COMPLEMENTARIA</t>
  </si>
  <si>
    <t xml:space="preserve">Caseta de guardiania </t>
  </si>
  <si>
    <t>Deposito de residuos Solidos</t>
  </si>
  <si>
    <t>Deposito de residuos Liquidos</t>
  </si>
  <si>
    <t>Acceso y veredas</t>
  </si>
  <si>
    <t>Tanque de agua material noble (10 m3)</t>
  </si>
  <si>
    <t>Unid.</t>
  </si>
  <si>
    <t>Cerco perimetrico</t>
  </si>
  <si>
    <t>ml</t>
  </si>
  <si>
    <t>TOTAL TERRENOS Y OBRAS CIVILES</t>
  </si>
  <si>
    <t>MAQUINARIA Y EQUIPO</t>
  </si>
  <si>
    <t>CONCEPTO</t>
  </si>
  <si>
    <t>CANTIDAD</t>
  </si>
  <si>
    <t>VALOR UNITARIO</t>
  </si>
  <si>
    <t>TOTAL</t>
  </si>
  <si>
    <t xml:space="preserve">MAQUINARIA </t>
  </si>
  <si>
    <t>Separadora densitometrica</t>
  </si>
  <si>
    <t>Desoulsador</t>
  </si>
  <si>
    <t>Maquinaria envasadora</t>
  </si>
  <si>
    <t>Cubierta aspiradora de polvo con  ventilador VC-052X y motor electrico</t>
  </si>
  <si>
    <t>Clasificadora PORTO PI-2X con juego de bocas para elevadores y motor electrico</t>
  </si>
  <si>
    <t>Secador estacionario (motor trifasico)</t>
  </si>
  <si>
    <t>Zaranda seleccionario electrica</t>
  </si>
  <si>
    <t>EQUIPO Y MUEBLES</t>
  </si>
  <si>
    <t>Balanza electronica de 500 kg</t>
  </si>
  <si>
    <t>Costura Portatil WPC</t>
  </si>
  <si>
    <t>Mesa de trabajo de acero inoxidable</t>
  </si>
  <si>
    <t xml:space="preserve">Depositos de acero inoxidable </t>
  </si>
  <si>
    <t>Hidrometros</t>
  </si>
  <si>
    <t xml:space="preserve">Kit de utensilios diversos </t>
  </si>
  <si>
    <t xml:space="preserve">EQUIPOS DE OFICINA </t>
  </si>
  <si>
    <t>Equipos de computo</t>
  </si>
  <si>
    <t>Impresoras</t>
  </si>
  <si>
    <t>TOTAL MAQUINARIA Y EQUIPO</t>
  </si>
  <si>
    <t>VEHICULOS</t>
  </si>
  <si>
    <t>Motocarga</t>
  </si>
  <si>
    <t>Camion de 5 tm</t>
  </si>
  <si>
    <t>TOTAL VEHICULOS</t>
  </si>
  <si>
    <t>MUBLES ENSERES</t>
  </si>
  <si>
    <t>Mesa de trabajo</t>
  </si>
  <si>
    <t>Escritorio completo</t>
  </si>
  <si>
    <t>Escritorios de madera</t>
  </si>
  <si>
    <t>Sillones metalicos</t>
  </si>
  <si>
    <t>Sillas de madera</t>
  </si>
  <si>
    <t>Armarios</t>
  </si>
  <si>
    <t>TOTA MUEBLES Y ENSERES</t>
  </si>
  <si>
    <t>Flujo de Caja de Inversiones</t>
  </si>
  <si>
    <t>Año 0</t>
  </si>
  <si>
    <t>Año 1</t>
  </si>
  <si>
    <t>Año 2</t>
  </si>
  <si>
    <t>Año 3</t>
  </si>
  <si>
    <t>Año 4</t>
  </si>
  <si>
    <t>Año 5</t>
  </si>
  <si>
    <t>INGRESOS</t>
  </si>
  <si>
    <t>Ingreso por Ventas</t>
  </si>
  <si>
    <t>VALOR RESIDUAL</t>
  </si>
  <si>
    <t>RECUPERO DE CAPITAL DE TRABAJO</t>
  </si>
  <si>
    <t>II.EGRESOS</t>
  </si>
  <si>
    <t>TOTAL INVERSION</t>
  </si>
  <si>
    <t>II.1.INVERSION FIJA AÑO 0</t>
  </si>
  <si>
    <t xml:space="preserve">II.1.1 INVERSION FIJA TANGIBLE </t>
  </si>
  <si>
    <t>I.1.1.1. Terrenos y Obras Civiles</t>
  </si>
  <si>
    <t>I.1.1.2. Maquinaria y Equipo</t>
  </si>
  <si>
    <t>I.1.1.3. Vehiculos</t>
  </si>
  <si>
    <t>I.1.1.4 Muebles y Enseres</t>
  </si>
  <si>
    <t>II.1.2 INVERSION FIJA INTANGIBLE</t>
  </si>
  <si>
    <t>II.1.3 CAPITAL DE TRABAJO</t>
  </si>
  <si>
    <t>I. Materias Primas e Insumos</t>
  </si>
  <si>
    <t>II. Mano de Obra</t>
  </si>
  <si>
    <t>III. Otros bienes y servicios</t>
  </si>
  <si>
    <t>II.1.4 GASTOS GENERALES</t>
  </si>
  <si>
    <t xml:space="preserve">II.1.5 GASTOS DE SUPERVISION </t>
  </si>
  <si>
    <t xml:space="preserve">II.2. COSTOS DE PRODUCCION </t>
  </si>
  <si>
    <t>II.2.1. Costos Directos</t>
  </si>
  <si>
    <t>II.2.2. Costos Indirectos</t>
  </si>
  <si>
    <t>II.3. GASTOS DE OPERACIÓN</t>
  </si>
  <si>
    <t>II.3.1. Gastos de Venta</t>
  </si>
  <si>
    <t>II.3.2. Gastos Administrativos</t>
  </si>
  <si>
    <t>II.4. IMPUESTOS A LA RENTA</t>
  </si>
  <si>
    <t>FC ECONÓMICO</t>
  </si>
  <si>
    <t>FINANCIAMIENTO NETO</t>
  </si>
  <si>
    <t>PRESTAMO</t>
  </si>
  <si>
    <t>SERVICIO DE DEUDA</t>
  </si>
  <si>
    <t>MATENIMIENTO, SEGURO Y COMISIONES</t>
  </si>
  <si>
    <t>ESCUDO FISCAL</t>
  </si>
  <si>
    <t>FC FINANCIERO</t>
  </si>
  <si>
    <t>Impuesto a la Renta</t>
  </si>
  <si>
    <t>Kd</t>
  </si>
  <si>
    <t>COK = Ke</t>
  </si>
  <si>
    <t>WACC</t>
  </si>
  <si>
    <t>Resumen</t>
  </si>
  <si>
    <t>FC Económico</t>
  </si>
  <si>
    <t>FC Financiero</t>
  </si>
  <si>
    <t>VAN Económico</t>
  </si>
  <si>
    <t>Tasa Interna de Retorno E.</t>
  </si>
  <si>
    <t>Beneficio Costo E (B/C E)</t>
  </si>
  <si>
    <t>Período de Recupero Econ.</t>
  </si>
  <si>
    <t>VAN Financiero</t>
  </si>
  <si>
    <t>Tasa Interna de Retorno F.</t>
  </si>
  <si>
    <t>Beneficio Costo F (B/C F)</t>
  </si>
  <si>
    <t>Período de Recupero Finan.</t>
  </si>
  <si>
    <t>DATOS</t>
  </si>
  <si>
    <t>VALORES</t>
  </si>
  <si>
    <t>Numerode periodos</t>
  </si>
  <si>
    <t>Tipo de periodos</t>
  </si>
  <si>
    <t>Anual</t>
  </si>
  <si>
    <t>CALCULO DEL VALOR ACTUAL NETO ECONOMICO (VANE)</t>
  </si>
  <si>
    <t>PERIODO (n)</t>
  </si>
  <si>
    <t>FLUJO DE CAJA ECONOMICO (FC)</t>
  </si>
  <si>
    <t>FC/(1+R)^n</t>
  </si>
  <si>
    <t>COK</t>
  </si>
  <si>
    <t>CALCULO DEL VALOR ACTUAL NETO FINANCIERO (VANF)</t>
  </si>
  <si>
    <t>CON FINANCIACIÓN</t>
  </si>
  <si>
    <r>
      <rPr>
        <b/>
        <sz val="10"/>
        <color theme="1"/>
        <rFont val="Arial"/>
      </rPr>
      <t>I. Ingresos (Ventas</t>
    </r>
    <r>
      <rPr>
        <sz val="10"/>
        <color theme="1"/>
        <rFont val="Arial"/>
      </rPr>
      <t>)</t>
    </r>
  </si>
  <si>
    <t>- Ventas</t>
  </si>
  <si>
    <t>- Ingresos extraordinarios</t>
  </si>
  <si>
    <t xml:space="preserve">II.Costos de produccion </t>
  </si>
  <si>
    <t>III.Uilidad Bruta</t>
  </si>
  <si>
    <t xml:space="preserve">IV.Gastos de operación </t>
  </si>
  <si>
    <t>- Gastos de venta</t>
  </si>
  <si>
    <t>- Gastos administrativos</t>
  </si>
  <si>
    <r>
      <rPr>
        <b/>
        <sz val="10"/>
        <color theme="1"/>
        <rFont val="Arial"/>
      </rPr>
      <t>V.Depreciación de A.F y AMORT.INTANG</t>
    </r>
    <r>
      <rPr>
        <sz val="10"/>
        <color theme="1"/>
        <rFont val="Arial"/>
      </rPr>
      <t xml:space="preserve"> </t>
    </r>
  </si>
  <si>
    <t>VI.Utilidad Operativa</t>
  </si>
  <si>
    <t>VI.Gastos Financieros</t>
  </si>
  <si>
    <t>VIII.Utilidad Antes de impuesto</t>
  </si>
  <si>
    <t>IX.Impuesto a la Renta (30%)</t>
  </si>
  <si>
    <t>Utilidad Neta</t>
  </si>
  <si>
    <t>SIN FINANCIAMIENTO</t>
  </si>
  <si>
    <r>
      <rPr>
        <b/>
        <sz val="10"/>
        <color theme="1"/>
        <rFont val="Arial"/>
      </rPr>
      <t>I. Ingresos (Ventas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</si>
  <si>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>V.Depreciación de A.F</t>
    </r>
    <r>
      <rPr>
        <sz val="10"/>
        <color theme="1"/>
        <rFont val="Arial"/>
      </rPr>
      <t xml:space="preserve"> </t>
    </r>
  </si>
  <si>
    <t>Liquidación</t>
  </si>
  <si>
    <t>I. Activo no depreciado</t>
  </si>
  <si>
    <t>- Terrenos</t>
  </si>
  <si>
    <t>-</t>
  </si>
  <si>
    <t>II. Depreciación del activo fijo tangible.</t>
  </si>
  <si>
    <t>- Obras civiles</t>
  </si>
  <si>
    <t>- Maquinaria y equipo</t>
  </si>
  <si>
    <t>- Vehículos</t>
  </si>
  <si>
    <t>- Muebles y enseres</t>
  </si>
  <si>
    <t>III.Amortización intangibles</t>
  </si>
  <si>
    <t>- Inversión fija intangible</t>
  </si>
  <si>
    <t>Total (II y III)</t>
  </si>
  <si>
    <t>Cronograma de Pagos</t>
  </si>
  <si>
    <t>Préstamo</t>
  </si>
  <si>
    <t>Tasa</t>
  </si>
  <si>
    <t>Plazo</t>
  </si>
  <si>
    <t>Años</t>
  </si>
  <si>
    <t>Cuotas</t>
  </si>
  <si>
    <t>CUOTA CONSTANTE</t>
  </si>
  <si>
    <t>CUOTA</t>
  </si>
  <si>
    <t>Periodo</t>
  </si>
  <si>
    <t>Intereses</t>
  </si>
  <si>
    <t>Amortización</t>
  </si>
  <si>
    <t>Saldo</t>
  </si>
  <si>
    <t>Escudo Fiscal</t>
  </si>
  <si>
    <t>Métodos para evaluación de proyectos de inversión</t>
  </si>
  <si>
    <t>Período de recupero Flujo de Caja Económico:</t>
  </si>
  <si>
    <t>Período</t>
  </si>
  <si>
    <t>Flujos</t>
  </si>
  <si>
    <t>Falta</t>
  </si>
  <si>
    <t>Recupere</t>
  </si>
  <si>
    <t>Por recuperar:</t>
  </si>
  <si>
    <t>Último flujo:</t>
  </si>
  <si>
    <t>meses</t>
  </si>
  <si>
    <t>PR: años:</t>
  </si>
  <si>
    <t>PR total:</t>
  </si>
  <si>
    <t>dias</t>
  </si>
  <si>
    <t xml:space="preserve"> 1 año, 6 meses y 6,1 dias</t>
  </si>
  <si>
    <t>Período de recupero Flujo de Caja Financiero:</t>
  </si>
  <si>
    <t xml:space="preserve"> 1 años, 1 mes y 15.5 dias </t>
  </si>
  <si>
    <t>CONCLUSIONES</t>
  </si>
  <si>
    <t>&gt;</t>
  </si>
  <si>
    <t>Se acepta el proyecto, genera valor</t>
  </si>
  <si>
    <t>TIR Economico</t>
  </si>
  <si>
    <t>TIR Financiero</t>
  </si>
  <si>
    <t>B/C Economico</t>
  </si>
  <si>
    <t>B/C Financiero</t>
  </si>
  <si>
    <t>PR Economico</t>
  </si>
  <si>
    <t>-&gt;</t>
  </si>
  <si>
    <t>PR Financiero</t>
  </si>
  <si>
    <t>En conclusion el Plan de Negocio si es viable y genera valor</t>
  </si>
  <si>
    <t>PLANES DE NEGOCIO DEL CAFÉ EN 
EL MARCO DE LA LEY PROCOMPITE</t>
  </si>
  <si>
    <t>Numero de periodos</t>
  </si>
  <si>
    <t>(1+WACC)^n</t>
  </si>
  <si>
    <t>(1+COK)^n</t>
  </si>
  <si>
    <t>Factor de depreciación</t>
  </si>
  <si>
    <t>Constante</t>
  </si>
  <si>
    <t>ESCUDERO GUTIERREZ DANNY RODRIGO</t>
  </si>
  <si>
    <t xml:space="preserve">SAICO FERNANDEZ NOEMI YESICA </t>
  </si>
  <si>
    <t>ZAMORA ROJAS VALERIA YERIMEN</t>
  </si>
  <si>
    <t>ALUMNOS</t>
  </si>
  <si>
    <t>Costo</t>
  </si>
  <si>
    <t>Vida Util</t>
  </si>
  <si>
    <t>Depreciacion anual</t>
  </si>
  <si>
    <t>(COSTO TOTAL-LIQUIDACION)</t>
  </si>
  <si>
    <t>DEPRECIACION ANUAL=</t>
  </si>
  <si>
    <t>VIDA UTIL</t>
  </si>
  <si>
    <t>CHAU CALCULO</t>
  </si>
  <si>
    <t>Depreciacion acumulada</t>
  </si>
  <si>
    <t>Expresado en 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</si>
</sst>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4" formatCode="_-&quot;S/&quot;* #,##0.00_-;\-&quot;S/&quot;* #,##0.00_-;_-&quot;S/&quot;* &quot;-&quot;??_-;_-@_-"/>
    <numFmt numFmtId="164" formatCode="#,##0_ ;[Red]\-#,##0\ "/>
    <numFmt numFmtId="165" formatCode="#,##0.00_ ;[Red]\-#,##0.00\ "/>
    <numFmt numFmtId="166" formatCode="#,##0.00\ [$€-1]"/>
    <numFmt numFmtId="167" formatCode="_ * #,##0.00_ ;_ * \-#,##0.00_ ;_ * &quot;-&quot;??_ ;_ @_ "/>
    <numFmt numFmtId="168" formatCode="_-* #,##0.00_-;\-* #,##0.00_-;_-* &quot;-&quot;??_-;_-@"/>
    <numFmt numFmtId="169" formatCode="0.0%"/>
    <numFmt numFmtId="170" formatCode="_-* #,##0.00_-;\-* #,##0.00_-;_-* &quot;-&quot;??.0_-;_-@"/>
    <numFmt numFmtId="171" formatCode="General_)"/>
    <numFmt numFmtId="172" formatCode="_-&quot;S/&quot;* #,##0.00_-;\-&quot;S/&quot;* #,##0.00_-;_-&quot;S/&quot;* &quot;-&quot;??_-;_-@"/>
    <numFmt numFmtId="174" formatCode="0.0"/>
  </numFmts>
  <fonts count="48" x14ac:knownFonts="1">
    <font>
      <sz val="11"/>
      <color theme="1"/>
      <name val="Arial"/>
    </font>
    <font>
      <b/>
      <sz val="15"/>
      <color theme="1"/>
      <name val="Times New Roman"/>
    </font>
    <font>
      <sz val="11"/>
      <name val="Arial"/>
    </font>
    <font>
      <b/>
      <sz val="15"/>
      <color rgb="FF000000"/>
      <name val="Times New Roman"/>
    </font>
    <font>
      <i/>
      <sz val="15"/>
      <color theme="1"/>
      <name val="Times New Roman"/>
    </font>
    <font>
      <sz val="11"/>
      <name val="Arial"/>
    </font>
    <font>
      <b/>
      <sz val="10"/>
      <color theme="1"/>
      <name val="Arial"/>
    </font>
    <font>
      <sz val="11"/>
      <color theme="1"/>
      <name val="Calibri"/>
    </font>
    <font>
      <b/>
      <sz val="11"/>
      <name val="Times New Roman"/>
    </font>
    <font>
      <sz val="11"/>
      <name val="Times New Roman"/>
    </font>
    <font>
      <b/>
      <sz val="11"/>
      <color theme="1"/>
      <name val="Times New Roman"/>
    </font>
    <font>
      <sz val="11"/>
      <color theme="1"/>
      <name val="Times New Roman"/>
    </font>
    <font>
      <b/>
      <sz val="11"/>
      <color rgb="FFFF0000"/>
      <name val="Calibri"/>
    </font>
    <font>
      <sz val="11"/>
      <color theme="1"/>
      <name val="Calibri"/>
    </font>
    <font>
      <b/>
      <sz val="11"/>
      <color theme="1"/>
      <name val="Calibri"/>
    </font>
    <font>
      <sz val="10"/>
      <color theme="1"/>
      <name val="Arial"/>
    </font>
    <font>
      <b/>
      <u/>
      <sz val="10"/>
      <color theme="1"/>
      <name val="Arial"/>
    </font>
    <font>
      <b/>
      <sz val="11"/>
      <color theme="1"/>
      <name val="Arial"/>
    </font>
    <font>
      <sz val="10"/>
      <color rgb="FF9CC2E5"/>
      <name val="Arial"/>
    </font>
    <font>
      <b/>
      <sz val="10"/>
      <color rgb="FF00B050"/>
      <name val="Arial"/>
    </font>
    <font>
      <sz val="10"/>
      <color rgb="FFFF0000"/>
      <name val="Arial"/>
    </font>
    <font>
      <b/>
      <sz val="10"/>
      <color rgb="FFFFFFFF"/>
      <name val="Arial"/>
    </font>
    <font>
      <sz val="11"/>
      <color rgb="FFFFFFFF"/>
      <name val="Calibri"/>
    </font>
    <font>
      <b/>
      <sz val="10"/>
      <color rgb="FFF3F3F3"/>
      <name val="Arial"/>
    </font>
    <font>
      <sz val="11"/>
      <color rgb="FF0000FF"/>
      <name val="Arial"/>
    </font>
    <font>
      <b/>
      <sz val="14"/>
      <color rgb="FF0070C0"/>
      <name val="Calibri"/>
    </font>
    <font>
      <b/>
      <sz val="12"/>
      <color rgb="FF0070C0"/>
      <name val="Calibri"/>
    </font>
    <font>
      <b/>
      <sz val="11"/>
      <color theme="0"/>
      <name val="Calibri"/>
    </font>
    <font>
      <sz val="10"/>
      <color rgb="FF000000"/>
      <name val="Arial"/>
    </font>
    <font>
      <b/>
      <sz val="11"/>
      <color rgb="FFFFFFFF"/>
      <name val="Calibri"/>
    </font>
    <font>
      <b/>
      <sz val="10"/>
      <color rgb="FF000000"/>
      <name val="Arial"/>
    </font>
    <font>
      <sz val="11"/>
      <color rgb="FF000000"/>
      <name val="Calibri"/>
    </font>
    <font>
      <b/>
      <sz val="11"/>
      <color rgb="FF38761D"/>
      <name val="Calibri"/>
    </font>
    <font>
      <sz val="11"/>
      <color theme="1"/>
      <name val="Arial"/>
    </font>
    <font>
      <sz val="11"/>
      <color theme="1"/>
      <name val="Arial"/>
      <family val="2"/>
    </font>
    <font>
      <b/>
      <sz val="14"/>
      <color theme="1"/>
      <name val="Times New Roman"/>
      <family val="1"/>
    </font>
    <font>
      <sz val="14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Calibri"/>
      <family val="2"/>
    </font>
    <font>
      <sz val="11"/>
      <color theme="0"/>
      <name val="Calibri"/>
      <family val="2"/>
    </font>
    <font>
      <sz val="11"/>
      <color theme="0"/>
      <name val="Arial"/>
      <family val="2"/>
    </font>
    <font>
      <sz val="12"/>
      <color theme="1"/>
      <name val="Calibri"/>
      <family val="2"/>
    </font>
    <font>
      <b/>
      <sz val="12"/>
      <color rgb="FFFFFFFF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00B050"/>
      <name val="Arial"/>
      <family val="2"/>
    </font>
    <font>
      <u/>
      <sz val="11"/>
      <color theme="1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6FA8DC"/>
        <bgColor rgb="FF6FA8DC"/>
      </patternFill>
    </fill>
    <fill>
      <patternFill patternType="solid">
        <fgColor rgb="FFFFD966"/>
        <bgColor rgb="FFFFD966"/>
      </patternFill>
    </fill>
    <fill>
      <patternFill patternType="solid">
        <fgColor theme="4"/>
        <bgColor theme="4"/>
      </patternFill>
    </fill>
    <fill>
      <patternFill patternType="solid">
        <fgColor rgb="FFB7B7B7"/>
        <bgColor rgb="FFB7B7B7"/>
      </patternFill>
    </fill>
    <fill>
      <patternFill patternType="solid">
        <fgColor theme="6"/>
        <bgColor theme="6"/>
      </patternFill>
    </fill>
    <fill>
      <patternFill patternType="solid">
        <fgColor rgb="FF7B7B7B"/>
        <bgColor rgb="FF7B7B7B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E69138"/>
        <bgColor rgb="FFE69138"/>
      </patternFill>
    </fill>
    <fill>
      <patternFill patternType="solid">
        <fgColor rgb="FFF6B26B"/>
        <bgColor rgb="FFF6B26B"/>
      </patternFill>
    </fill>
    <fill>
      <patternFill patternType="solid">
        <fgColor rgb="FFDEEAF6"/>
        <bgColor rgb="FFDEEAF6"/>
      </patternFill>
    </fill>
    <fill>
      <patternFill patternType="solid">
        <fgColor rgb="FF0070C0"/>
        <bgColor rgb="FF0070C0"/>
      </patternFill>
    </fill>
    <fill>
      <patternFill patternType="solid">
        <fgColor rgb="FF666666"/>
        <bgColor rgb="FF666666"/>
      </patternFill>
    </fill>
    <fill>
      <patternFill patternType="solid">
        <fgColor rgb="FFF4CCCC"/>
        <bgColor rgb="FFF4CCCC"/>
      </patternFill>
    </fill>
    <fill>
      <patternFill patternType="solid">
        <fgColor theme="9"/>
        <bgColor theme="9"/>
      </patternFill>
    </fill>
    <fill>
      <patternFill patternType="solid">
        <fgColor theme="5"/>
        <bgColor theme="5"/>
      </patternFill>
    </fill>
    <fill>
      <patternFill patternType="solid">
        <fgColor theme="0"/>
        <bgColor indexed="64"/>
      </patternFill>
    </fill>
    <fill>
      <patternFill patternType="solid">
        <fgColor theme="5"/>
        <bgColor rgb="FFE69138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theme="0"/>
      </patternFill>
    </fill>
    <fill>
      <patternFill patternType="solid">
        <fgColor theme="4" tint="0.79998168889431442"/>
        <bgColor theme="0"/>
      </patternFill>
    </fill>
    <fill>
      <patternFill patternType="solid">
        <fgColor theme="0" tint="-4.9989318521683403E-2"/>
        <bgColor theme="0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6" tint="0.59999389629810485"/>
        <bgColor theme="0"/>
      </patternFill>
    </fill>
    <fill>
      <patternFill patternType="solid">
        <fgColor theme="7" tint="0.59999389629810485"/>
        <bgColor theme="0"/>
      </patternFill>
    </fill>
    <fill>
      <patternFill patternType="solid">
        <fgColor theme="9" tint="0.59999389629810485"/>
        <bgColor theme="0"/>
      </patternFill>
    </fill>
    <fill>
      <patternFill patternType="solid">
        <fgColor theme="5" tint="0.39997558519241921"/>
        <bgColor theme="0"/>
      </patternFill>
    </fill>
    <fill>
      <patternFill patternType="solid">
        <fgColor theme="8" tint="0.59999389629810485"/>
        <bgColor theme="0"/>
      </patternFill>
    </fill>
    <fill>
      <patternFill patternType="solid">
        <fgColor theme="4" tint="0.39997558519241921"/>
        <bgColor theme="0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85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double">
        <color rgb="FF000000"/>
      </right>
      <top/>
      <bottom style="thin">
        <color rgb="FFFFFFFF"/>
      </bottom>
      <diagonal/>
    </border>
    <border>
      <left style="double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double">
        <color rgb="FF000000"/>
      </right>
      <top style="thin">
        <color rgb="FFFFFFFF"/>
      </top>
      <bottom style="thin">
        <color rgb="FFFFFFFF"/>
      </bottom>
      <diagonal/>
    </border>
    <border>
      <left style="double">
        <color rgb="FF000000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double">
        <color rgb="FF000000"/>
      </right>
      <top style="thin">
        <color rgb="FFFFFFFF"/>
      </top>
      <bottom/>
      <diagonal/>
    </border>
    <border>
      <left style="double">
        <color rgb="FF000000"/>
      </left>
      <right/>
      <top style="thin">
        <color rgb="FFFFFFFF"/>
      </top>
      <bottom style="double">
        <color rgb="FF000000"/>
      </bottom>
      <diagonal/>
    </border>
    <border>
      <left/>
      <right/>
      <top style="thin">
        <color rgb="FFFFFFFF"/>
      </top>
      <bottom style="double">
        <color rgb="FF000000"/>
      </bottom>
      <diagonal/>
    </border>
    <border>
      <left/>
      <right style="double">
        <color rgb="FF000000"/>
      </right>
      <top style="thin">
        <color rgb="FFFFFFFF"/>
      </top>
      <bottom style="double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double">
        <color rgb="FF000000"/>
      </left>
      <right style="thin">
        <color rgb="FFFFFFFF"/>
      </right>
      <top style="double">
        <color rgb="FF000000"/>
      </top>
      <bottom style="double">
        <color rgb="FF000000"/>
      </bottom>
      <diagonal/>
    </border>
    <border>
      <left style="thin">
        <color rgb="FFFFFFFF"/>
      </left>
      <right style="thin">
        <color rgb="FFFFFFFF"/>
      </right>
      <top style="double">
        <color rgb="FF000000"/>
      </top>
      <bottom style="double">
        <color rgb="FF000000"/>
      </bottom>
      <diagonal/>
    </border>
    <border>
      <left style="thin">
        <color rgb="FFFFFFFF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double">
        <color rgb="FF000000"/>
      </left>
      <right style="thin">
        <color rgb="FFFFFFFF"/>
      </right>
      <top/>
      <bottom/>
      <diagonal/>
    </border>
    <border>
      <left style="thin">
        <color rgb="FFFFFFFF"/>
      </left>
      <right style="double">
        <color rgb="FF000000"/>
      </right>
      <top/>
      <bottom/>
      <diagonal/>
    </border>
    <border>
      <left style="double">
        <color rgb="FF000000"/>
      </left>
      <right style="thin">
        <color rgb="FFFFFFFF"/>
      </right>
      <top style="double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double">
        <color rgb="FF000000"/>
      </top>
      <bottom style="thin">
        <color rgb="FFFFFFFF"/>
      </bottom>
      <diagonal/>
    </border>
    <border>
      <left style="thin">
        <color rgb="FFFFFFFF"/>
      </left>
      <right style="double">
        <color rgb="FF000000"/>
      </right>
      <top style="double">
        <color rgb="FF000000"/>
      </top>
      <bottom style="thin">
        <color rgb="FFFFFFFF"/>
      </bottom>
      <diagonal/>
    </border>
    <border>
      <left style="double">
        <color rgb="FF000000"/>
      </left>
      <right style="thin">
        <color rgb="FFFFFFFF"/>
      </right>
      <top style="thin">
        <color rgb="FFFFFFFF"/>
      </top>
      <bottom style="double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double">
        <color rgb="FF000000"/>
      </bottom>
      <diagonal/>
    </border>
    <border>
      <left style="thin">
        <color rgb="FFFFFFFF"/>
      </left>
      <right style="double">
        <color rgb="FF000000"/>
      </right>
      <top style="thin">
        <color rgb="FFFFFFFF"/>
      </top>
      <bottom style="double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33" fillId="0" borderId="0" applyFont="0" applyFill="0" applyBorder="0" applyAlignment="0" applyProtection="0"/>
    <xf numFmtId="9" fontId="33" fillId="0" borderId="0" applyFont="0" applyFill="0" applyBorder="0" applyAlignment="0" applyProtection="0"/>
  </cellStyleXfs>
  <cellXfs count="394">
    <xf numFmtId="0" fontId="0" fillId="0" borderId="0" xfId="0" applyFont="1" applyAlignment="1"/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2" fillId="0" borderId="18" xfId="0" applyFont="1" applyBorder="1"/>
    <xf numFmtId="0" fontId="5" fillId="2" borderId="19" xfId="0" applyFont="1" applyFill="1" applyBorder="1"/>
    <xf numFmtId="0" fontId="5" fillId="2" borderId="18" xfId="0" applyFont="1" applyFill="1" applyBorder="1"/>
    <xf numFmtId="0" fontId="6" fillId="3" borderId="23" xfId="0" applyFont="1" applyFill="1" applyBorder="1" applyAlignment="1">
      <alignment horizontal="center"/>
    </xf>
    <xf numFmtId="0" fontId="7" fillId="0" borderId="10" xfId="0" applyFont="1" applyBorder="1"/>
    <xf numFmtId="0" fontId="2" fillId="0" borderId="24" xfId="0" applyFont="1" applyBorder="1"/>
    <xf numFmtId="0" fontId="9" fillId="0" borderId="26" xfId="0" applyFont="1" applyBorder="1" applyAlignment="1"/>
    <xf numFmtId="0" fontId="9" fillId="0" borderId="26" xfId="0" applyFont="1" applyBorder="1"/>
    <xf numFmtId="0" fontId="9" fillId="0" borderId="27" xfId="0" applyFont="1" applyBorder="1"/>
    <xf numFmtId="0" fontId="2" fillId="0" borderId="23" xfId="0" applyFont="1" applyBorder="1"/>
    <xf numFmtId="0" fontId="2" fillId="0" borderId="28" xfId="0" applyFont="1" applyBorder="1"/>
    <xf numFmtId="0" fontId="9" fillId="0" borderId="19" xfId="0" applyFont="1" applyBorder="1"/>
    <xf numFmtId="0" fontId="9" fillId="0" borderId="30" xfId="0" applyFont="1" applyBorder="1"/>
    <xf numFmtId="0" fontId="11" fillId="0" borderId="26" xfId="0" applyFont="1" applyBorder="1"/>
    <xf numFmtId="0" fontId="11" fillId="0" borderId="32" xfId="0" applyFont="1" applyBorder="1"/>
    <xf numFmtId="0" fontId="9" fillId="0" borderId="32" xfId="0" applyFont="1" applyBorder="1"/>
    <xf numFmtId="0" fontId="9" fillId="0" borderId="33" xfId="0" applyFont="1" applyBorder="1" applyAlignment="1"/>
    <xf numFmtId="0" fontId="9" fillId="0" borderId="9" xfId="0" applyFont="1" applyBorder="1"/>
    <xf numFmtId="0" fontId="11" fillId="0" borderId="10" xfId="0" applyFont="1" applyBorder="1"/>
    <xf numFmtId="0" fontId="9" fillId="0" borderId="10" xfId="0" applyFont="1" applyBorder="1"/>
    <xf numFmtId="0" fontId="9" fillId="0" borderId="11" xfId="0" applyFont="1" applyBorder="1" applyAlignment="1"/>
    <xf numFmtId="0" fontId="9" fillId="0" borderId="34" xfId="0" applyFont="1" applyBorder="1"/>
    <xf numFmtId="0" fontId="11" fillId="0" borderId="35" xfId="0" applyFont="1" applyBorder="1"/>
    <xf numFmtId="0" fontId="9" fillId="0" borderId="35" xfId="0" applyFont="1" applyBorder="1"/>
    <xf numFmtId="0" fontId="9" fillId="0" borderId="36" xfId="0" applyFont="1" applyBorder="1" applyAlignment="1"/>
    <xf numFmtId="0" fontId="0" fillId="3" borderId="37" xfId="0" applyFont="1" applyFill="1" applyBorder="1"/>
    <xf numFmtId="0" fontId="12" fillId="3" borderId="38" xfId="0" applyFont="1" applyFill="1" applyBorder="1" applyAlignment="1">
      <alignment horizontal="center"/>
    </xf>
    <xf numFmtId="0" fontId="0" fillId="3" borderId="42" xfId="0" applyFont="1" applyFill="1" applyBorder="1"/>
    <xf numFmtId="0" fontId="13" fillId="4" borderId="43" xfId="0" applyFont="1" applyFill="1" applyBorder="1"/>
    <xf numFmtId="0" fontId="13" fillId="4" borderId="44" xfId="0" applyFont="1" applyFill="1" applyBorder="1"/>
    <xf numFmtId="0" fontId="13" fillId="4" borderId="45" xfId="0" applyFont="1" applyFill="1" applyBorder="1"/>
    <xf numFmtId="0" fontId="0" fillId="3" borderId="46" xfId="0" applyFont="1" applyFill="1" applyBorder="1"/>
    <xf numFmtId="0" fontId="14" fillId="3" borderId="47" xfId="0" applyFont="1" applyFill="1" applyBorder="1"/>
    <xf numFmtId="0" fontId="14" fillId="3" borderId="48" xfId="0" applyFont="1" applyFill="1" applyBorder="1"/>
    <xf numFmtId="0" fontId="14" fillId="3" borderId="50" xfId="0" applyFont="1" applyFill="1" applyBorder="1"/>
    <xf numFmtId="0" fontId="13" fillId="3" borderId="50" xfId="0" applyFont="1" applyFill="1" applyBorder="1"/>
    <xf numFmtId="0" fontId="13" fillId="3" borderId="37" xfId="0" applyFont="1" applyFill="1" applyBorder="1"/>
    <xf numFmtId="0" fontId="14" fillId="3" borderId="37" xfId="0" applyFont="1" applyFill="1" applyBorder="1"/>
    <xf numFmtId="0" fontId="13" fillId="3" borderId="52" xfId="0" applyFont="1" applyFill="1" applyBorder="1"/>
    <xf numFmtId="0" fontId="13" fillId="3" borderId="38" xfId="0" applyFont="1" applyFill="1" applyBorder="1"/>
    <xf numFmtId="0" fontId="0" fillId="3" borderId="48" xfId="0" applyFont="1" applyFill="1" applyBorder="1"/>
    <xf numFmtId="0" fontId="13" fillId="3" borderId="37" xfId="0" applyFont="1" applyFill="1" applyBorder="1" applyAlignment="1">
      <alignment horizontal="right"/>
    </xf>
    <xf numFmtId="0" fontId="13" fillId="4" borderId="43" xfId="0" applyFont="1" applyFill="1" applyBorder="1" applyAlignment="1">
      <alignment horizontal="left"/>
    </xf>
    <xf numFmtId="0" fontId="13" fillId="4" borderId="44" xfId="0" applyFont="1" applyFill="1" applyBorder="1" applyAlignment="1">
      <alignment horizontal="right"/>
    </xf>
    <xf numFmtId="0" fontId="13" fillId="4" borderId="45" xfId="0" applyFont="1" applyFill="1" applyBorder="1" applyAlignment="1">
      <alignment horizontal="right"/>
    </xf>
    <xf numFmtId="0" fontId="13" fillId="3" borderId="47" xfId="0" applyFont="1" applyFill="1" applyBorder="1"/>
    <xf numFmtId="0" fontId="13" fillId="3" borderId="48" xfId="0" applyFont="1" applyFill="1" applyBorder="1"/>
    <xf numFmtId="0" fontId="6" fillId="3" borderId="37" xfId="0" applyFont="1" applyFill="1" applyBorder="1"/>
    <xf numFmtId="0" fontId="13" fillId="5" borderId="57" xfId="0" applyFont="1" applyFill="1" applyBorder="1"/>
    <xf numFmtId="0" fontId="6" fillId="5" borderId="58" xfId="0" applyFont="1" applyFill="1" applyBorder="1" applyAlignment="1">
      <alignment horizontal="center"/>
    </xf>
    <xf numFmtId="0" fontId="6" fillId="5" borderId="57" xfId="0" applyFont="1" applyFill="1" applyBorder="1" applyAlignment="1">
      <alignment horizontal="center"/>
    </xf>
    <xf numFmtId="0" fontId="6" fillId="3" borderId="50" xfId="0" applyFont="1" applyFill="1" applyBorder="1"/>
    <xf numFmtId="164" fontId="15" fillId="3" borderId="58" xfId="0" applyNumberFormat="1" applyFont="1" applyFill="1" applyBorder="1"/>
    <xf numFmtId="165" fontId="6" fillId="3" borderId="58" xfId="0" applyNumberFormat="1" applyFont="1" applyFill="1" applyBorder="1"/>
    <xf numFmtId="164" fontId="6" fillId="3" borderId="58" xfId="0" applyNumberFormat="1" applyFont="1" applyFill="1" applyBorder="1"/>
    <xf numFmtId="164" fontId="6" fillId="3" borderId="59" xfId="0" applyNumberFormat="1" applyFont="1" applyFill="1" applyBorder="1"/>
    <xf numFmtId="164" fontId="15" fillId="3" borderId="60" xfId="0" applyNumberFormat="1" applyFont="1" applyFill="1" applyBorder="1"/>
    <xf numFmtId="164" fontId="15" fillId="3" borderId="50" xfId="0" applyNumberFormat="1" applyFont="1" applyFill="1" applyBorder="1"/>
    <xf numFmtId="0" fontId="13" fillId="0" borderId="0" xfId="0" applyFont="1"/>
    <xf numFmtId="164" fontId="15" fillId="3" borderId="51" xfId="0" applyNumberFormat="1" applyFont="1" applyFill="1" applyBorder="1"/>
    <xf numFmtId="164" fontId="15" fillId="3" borderId="37" xfId="0" applyNumberFormat="1" applyFont="1" applyFill="1" applyBorder="1"/>
    <xf numFmtId="4" fontId="15" fillId="3" borderId="60" xfId="0" applyNumberFormat="1" applyFont="1" applyFill="1" applyBorder="1" applyAlignment="1">
      <alignment horizontal="right"/>
    </xf>
    <xf numFmtId="164" fontId="15" fillId="3" borderId="61" xfId="0" applyNumberFormat="1" applyFont="1" applyFill="1" applyBorder="1"/>
    <xf numFmtId="0" fontId="16" fillId="3" borderId="50" xfId="0" applyFont="1" applyFill="1" applyBorder="1"/>
    <xf numFmtId="165" fontId="6" fillId="3" borderId="50" xfId="0" applyNumberFormat="1" applyFont="1" applyFill="1" applyBorder="1"/>
    <xf numFmtId="0" fontId="17" fillId="3" borderId="50" xfId="0" applyFont="1" applyFill="1" applyBorder="1"/>
    <xf numFmtId="164" fontId="6" fillId="3" borderId="50" xfId="0" applyNumberFormat="1" applyFont="1" applyFill="1" applyBorder="1"/>
    <xf numFmtId="164" fontId="6" fillId="3" borderId="60" xfId="0" applyNumberFormat="1" applyFont="1" applyFill="1" applyBorder="1"/>
    <xf numFmtId="0" fontId="14" fillId="0" borderId="0" xfId="0" applyFont="1"/>
    <xf numFmtId="0" fontId="0" fillId="3" borderId="50" xfId="0" applyFont="1" applyFill="1" applyBorder="1"/>
    <xf numFmtId="165" fontId="15" fillId="3" borderId="50" xfId="0" applyNumberFormat="1" applyFont="1" applyFill="1" applyBorder="1"/>
    <xf numFmtId="165" fontId="15" fillId="3" borderId="60" xfId="0" applyNumberFormat="1" applyFont="1" applyFill="1" applyBorder="1"/>
    <xf numFmtId="165" fontId="14" fillId="3" borderId="60" xfId="0" applyNumberFormat="1" applyFont="1" applyFill="1" applyBorder="1"/>
    <xf numFmtId="0" fontId="15" fillId="3" borderId="50" xfId="0" applyFont="1" applyFill="1" applyBorder="1"/>
    <xf numFmtId="0" fontId="6" fillId="0" borderId="0" xfId="0" applyFont="1"/>
    <xf numFmtId="164" fontId="13" fillId="3" borderId="58" xfId="0" applyNumberFormat="1" applyFont="1" applyFill="1" applyBorder="1"/>
    <xf numFmtId="164" fontId="13" fillId="3" borderId="51" xfId="0" applyNumberFormat="1" applyFont="1" applyFill="1" applyBorder="1"/>
    <xf numFmtId="164" fontId="13" fillId="3" borderId="37" xfId="0" applyNumberFormat="1" applyFont="1" applyFill="1" applyBorder="1"/>
    <xf numFmtId="164" fontId="13" fillId="3" borderId="60" xfId="0" applyNumberFormat="1" applyFont="1" applyFill="1" applyBorder="1"/>
    <xf numFmtId="0" fontId="0" fillId="3" borderId="60" xfId="0" applyFont="1" applyFill="1" applyBorder="1"/>
    <xf numFmtId="165" fontId="0" fillId="3" borderId="60" xfId="0" applyNumberFormat="1" applyFont="1" applyFill="1" applyBorder="1"/>
    <xf numFmtId="164" fontId="18" fillId="3" borderId="51" xfId="0" applyNumberFormat="1" applyFont="1" applyFill="1" applyBorder="1"/>
    <xf numFmtId="164" fontId="18" fillId="3" borderId="60" xfId="0" applyNumberFormat="1" applyFont="1" applyFill="1" applyBorder="1"/>
    <xf numFmtId="166" fontId="13" fillId="3" borderId="37" xfId="0" applyNumberFormat="1" applyFont="1" applyFill="1" applyBorder="1"/>
    <xf numFmtId="165" fontId="13" fillId="3" borderId="51" xfId="0" applyNumberFormat="1" applyFont="1" applyFill="1" applyBorder="1"/>
    <xf numFmtId="165" fontId="13" fillId="3" borderId="60" xfId="0" applyNumberFormat="1" applyFont="1" applyFill="1" applyBorder="1"/>
    <xf numFmtId="165" fontId="6" fillId="3" borderId="51" xfId="0" applyNumberFormat="1" applyFont="1" applyFill="1" applyBorder="1"/>
    <xf numFmtId="165" fontId="6" fillId="3" borderId="60" xfId="0" applyNumberFormat="1" applyFont="1" applyFill="1" applyBorder="1"/>
    <xf numFmtId="3" fontId="13" fillId="3" borderId="37" xfId="0" applyNumberFormat="1" applyFont="1" applyFill="1" applyBorder="1"/>
    <xf numFmtId="0" fontId="0" fillId="3" borderId="38" xfId="0" applyFont="1" applyFill="1" applyBorder="1"/>
    <xf numFmtId="0" fontId="15" fillId="3" borderId="37" xfId="0" applyFont="1" applyFill="1" applyBorder="1"/>
    <xf numFmtId="0" fontId="15" fillId="3" borderId="42" xfId="0" applyFont="1" applyFill="1" applyBorder="1"/>
    <xf numFmtId="0" fontId="15" fillId="3" borderId="10" xfId="0" applyFont="1" applyFill="1" applyBorder="1" applyAlignment="1">
      <alignment horizontal="center"/>
    </xf>
    <xf numFmtId="0" fontId="15" fillId="3" borderId="10" xfId="0" applyFont="1" applyFill="1" applyBorder="1"/>
    <xf numFmtId="0" fontId="15" fillId="3" borderId="46" xfId="0" applyFont="1" applyFill="1" applyBorder="1"/>
    <xf numFmtId="0" fontId="15" fillId="0" borderId="0" xfId="0" applyFont="1"/>
    <xf numFmtId="10" fontId="13" fillId="3" borderId="37" xfId="0" applyNumberFormat="1" applyFont="1" applyFill="1" applyBorder="1"/>
    <xf numFmtId="10" fontId="13" fillId="3" borderId="10" xfId="0" applyNumberFormat="1" applyFont="1" applyFill="1" applyBorder="1" applyAlignment="1">
      <alignment horizontal="center"/>
    </xf>
    <xf numFmtId="0" fontId="19" fillId="3" borderId="37" xfId="0" applyFont="1" applyFill="1" applyBorder="1"/>
    <xf numFmtId="0" fontId="19" fillId="3" borderId="42" xfId="0" applyFont="1" applyFill="1" applyBorder="1"/>
    <xf numFmtId="9" fontId="19" fillId="3" borderId="10" xfId="0" applyNumberFormat="1" applyFont="1" applyFill="1" applyBorder="1" applyAlignment="1">
      <alignment horizontal="center"/>
    </xf>
    <xf numFmtId="0" fontId="19" fillId="3" borderId="10" xfId="0" applyFont="1" applyFill="1" applyBorder="1"/>
    <xf numFmtId="0" fontId="19" fillId="3" borderId="46" xfId="0" applyFont="1" applyFill="1" applyBorder="1"/>
    <xf numFmtId="0" fontId="19" fillId="0" borderId="0" xfId="0" applyFont="1"/>
    <xf numFmtId="10" fontId="6" fillId="3" borderId="37" xfId="0" applyNumberFormat="1" applyFont="1" applyFill="1" applyBorder="1"/>
    <xf numFmtId="3" fontId="0" fillId="3" borderId="37" xfId="0" applyNumberFormat="1" applyFont="1" applyFill="1" applyBorder="1"/>
    <xf numFmtId="165" fontId="13" fillId="3" borderId="37" xfId="0" applyNumberFormat="1" applyFont="1" applyFill="1" applyBorder="1"/>
    <xf numFmtId="2" fontId="13" fillId="0" borderId="0" xfId="0" applyNumberFormat="1" applyFont="1"/>
    <xf numFmtId="4" fontId="13" fillId="0" borderId="0" xfId="0" applyNumberFormat="1" applyFont="1"/>
    <xf numFmtId="168" fontId="20" fillId="3" borderId="37" xfId="0" applyNumberFormat="1" applyFont="1" applyFill="1" applyBorder="1" applyAlignment="1">
      <alignment horizontal="center"/>
    </xf>
    <xf numFmtId="0" fontId="20" fillId="3" borderId="37" xfId="0" applyFont="1" applyFill="1" applyBorder="1" applyAlignment="1">
      <alignment horizontal="center"/>
    </xf>
    <xf numFmtId="171" fontId="15" fillId="3" borderId="64" xfId="0" applyNumberFormat="1" applyFont="1" applyFill="1" applyBorder="1"/>
    <xf numFmtId="171" fontId="15" fillId="3" borderId="65" xfId="0" applyNumberFormat="1" applyFont="1" applyFill="1" applyBorder="1" applyAlignment="1">
      <alignment horizontal="center"/>
    </xf>
    <xf numFmtId="171" fontId="15" fillId="3" borderId="66" xfId="0" applyNumberFormat="1" applyFont="1" applyFill="1" applyBorder="1" applyAlignment="1">
      <alignment horizontal="center"/>
    </xf>
    <xf numFmtId="0" fontId="13" fillId="3" borderId="37" xfId="0" applyFont="1" applyFill="1" applyBorder="1" applyAlignment="1">
      <alignment horizontal="center"/>
    </xf>
    <xf numFmtId="171" fontId="15" fillId="3" borderId="67" xfId="0" applyNumberFormat="1" applyFont="1" applyFill="1" applyBorder="1"/>
    <xf numFmtId="171" fontId="15" fillId="3" borderId="37" xfId="0" applyNumberFormat="1" applyFont="1" applyFill="1" applyBorder="1" applyAlignment="1">
      <alignment horizontal="center"/>
    </xf>
    <xf numFmtId="171" fontId="15" fillId="3" borderId="68" xfId="0" applyNumberFormat="1" applyFont="1" applyFill="1" applyBorder="1" applyAlignment="1">
      <alignment horizontal="left"/>
    </xf>
    <xf numFmtId="171" fontId="15" fillId="3" borderId="69" xfId="0" applyNumberFormat="1" applyFont="1" applyFill="1" applyBorder="1"/>
    <xf numFmtId="171" fontId="15" fillId="3" borderId="70" xfId="0" applyNumberFormat="1" applyFont="1" applyFill="1" applyBorder="1" applyAlignment="1">
      <alignment horizontal="center"/>
    </xf>
    <xf numFmtId="171" fontId="15" fillId="3" borderId="71" xfId="0" applyNumberFormat="1" applyFont="1" applyFill="1" applyBorder="1" applyAlignment="1">
      <alignment horizontal="center"/>
    </xf>
    <xf numFmtId="0" fontId="0" fillId="3" borderId="37" xfId="0" applyFont="1" applyFill="1" applyBorder="1" applyAlignment="1">
      <alignment horizontal="center"/>
    </xf>
    <xf numFmtId="0" fontId="0" fillId="3" borderId="38" xfId="0" applyFont="1" applyFill="1" applyBorder="1" applyAlignment="1">
      <alignment horizontal="center"/>
    </xf>
    <xf numFmtId="0" fontId="0" fillId="3" borderId="42" xfId="0" applyFont="1" applyFill="1" applyBorder="1" applyAlignment="1">
      <alignment horizontal="center"/>
    </xf>
    <xf numFmtId="0" fontId="0" fillId="3" borderId="46" xfId="0" applyFont="1" applyFill="1" applyBorder="1" applyAlignment="1">
      <alignment horizontal="center"/>
    </xf>
    <xf numFmtId="0" fontId="0" fillId="3" borderId="48" xfId="0" applyFont="1" applyFill="1" applyBorder="1" applyAlignment="1">
      <alignment horizontal="center"/>
    </xf>
    <xf numFmtId="0" fontId="0" fillId="3" borderId="57" xfId="0" applyFont="1" applyFill="1" applyBorder="1" applyAlignment="1">
      <alignment horizontal="center"/>
    </xf>
    <xf numFmtId="0" fontId="6" fillId="7" borderId="57" xfId="0" applyFont="1" applyFill="1" applyBorder="1" applyAlignment="1">
      <alignment horizontal="center"/>
    </xf>
    <xf numFmtId="0" fontId="6" fillId="3" borderId="58" xfId="0" applyFont="1" applyFill="1" applyBorder="1"/>
    <xf numFmtId="172" fontId="15" fillId="3" borderId="58" xfId="0" applyNumberFormat="1" applyFont="1" applyFill="1" applyBorder="1"/>
    <xf numFmtId="172" fontId="15" fillId="3" borderId="74" xfId="0" applyNumberFormat="1" applyFont="1" applyFill="1" applyBorder="1"/>
    <xf numFmtId="0" fontId="15" fillId="3" borderId="60" xfId="0" applyFont="1" applyFill="1" applyBorder="1"/>
    <xf numFmtId="172" fontId="15" fillId="3" borderId="60" xfId="0" applyNumberFormat="1" applyFont="1" applyFill="1" applyBorder="1"/>
    <xf numFmtId="172" fontId="15" fillId="3" borderId="37" xfId="0" applyNumberFormat="1" applyFont="1" applyFill="1" applyBorder="1"/>
    <xf numFmtId="49" fontId="15" fillId="3" borderId="60" xfId="0" applyNumberFormat="1" applyFont="1" applyFill="1" applyBorder="1"/>
    <xf numFmtId="172" fontId="15" fillId="3" borderId="60" xfId="0" applyNumberFormat="1" applyFont="1" applyFill="1" applyBorder="1" applyAlignment="1">
      <alignment horizontal="right"/>
    </xf>
    <xf numFmtId="172" fontId="13" fillId="3" borderId="37" xfId="0" applyNumberFormat="1" applyFont="1" applyFill="1" applyBorder="1"/>
    <xf numFmtId="0" fontId="6" fillId="3" borderId="60" xfId="0" applyFont="1" applyFill="1" applyBorder="1"/>
    <xf numFmtId="0" fontId="6" fillId="8" borderId="57" xfId="0" applyFont="1" applyFill="1" applyBorder="1"/>
    <xf numFmtId="172" fontId="6" fillId="8" borderId="57" xfId="0" applyNumberFormat="1" applyFont="1" applyFill="1" applyBorder="1"/>
    <xf numFmtId="172" fontId="6" fillId="3" borderId="60" xfId="0" applyNumberFormat="1" applyFont="1" applyFill="1" applyBorder="1"/>
    <xf numFmtId="172" fontId="6" fillId="3" borderId="37" xfId="0" applyNumberFormat="1" applyFont="1" applyFill="1" applyBorder="1"/>
    <xf numFmtId="0" fontId="15" fillId="3" borderId="60" xfId="0" applyFont="1" applyFill="1" applyBorder="1" applyAlignment="1">
      <alignment wrapText="1"/>
    </xf>
    <xf numFmtId="0" fontId="6" fillId="9" borderId="57" xfId="0" applyFont="1" applyFill="1" applyBorder="1"/>
    <xf numFmtId="172" fontId="6" fillId="9" borderId="57" xfId="0" applyNumberFormat="1" applyFont="1" applyFill="1" applyBorder="1"/>
    <xf numFmtId="172" fontId="21" fillId="10" borderId="57" xfId="0" applyNumberFormat="1" applyFont="1" applyFill="1" applyBorder="1" applyAlignment="1">
      <alignment horizontal="center" vertical="center"/>
    </xf>
    <xf numFmtId="0" fontId="15" fillId="3" borderId="61" xfId="0" applyFont="1" applyFill="1" applyBorder="1"/>
    <xf numFmtId="172" fontId="15" fillId="3" borderId="61" xfId="0" applyNumberFormat="1" applyFont="1" applyFill="1" applyBorder="1"/>
    <xf numFmtId="172" fontId="15" fillId="3" borderId="75" xfId="0" applyNumberFormat="1" applyFont="1" applyFill="1" applyBorder="1"/>
    <xf numFmtId="0" fontId="21" fillId="10" borderId="57" xfId="0" applyFont="1" applyFill="1" applyBorder="1"/>
    <xf numFmtId="172" fontId="21" fillId="10" borderId="57" xfId="0" applyNumberFormat="1" applyFont="1" applyFill="1" applyBorder="1"/>
    <xf numFmtId="0" fontId="23" fillId="7" borderId="57" xfId="0" applyFont="1" applyFill="1" applyBorder="1" applyAlignment="1">
      <alignment horizontal="center"/>
    </xf>
    <xf numFmtId="164" fontId="15" fillId="3" borderId="74" xfId="0" applyNumberFormat="1" applyFont="1" applyFill="1" applyBorder="1"/>
    <xf numFmtId="0" fontId="17" fillId="15" borderId="37" xfId="0" applyFont="1" applyFill="1" applyBorder="1"/>
    <xf numFmtId="165" fontId="0" fillId="3" borderId="57" xfId="0" applyNumberFormat="1" applyFont="1" applyFill="1" applyBorder="1"/>
    <xf numFmtId="169" fontId="0" fillId="3" borderId="57" xfId="0" applyNumberFormat="1" applyFont="1" applyFill="1" applyBorder="1"/>
    <xf numFmtId="10" fontId="0" fillId="3" borderId="37" xfId="0" applyNumberFormat="1" applyFont="1" applyFill="1" applyBorder="1"/>
    <xf numFmtId="0" fontId="0" fillId="3" borderId="57" xfId="0" applyFont="1" applyFill="1" applyBorder="1"/>
    <xf numFmtId="0" fontId="17" fillId="3" borderId="37" xfId="0" applyFont="1" applyFill="1" applyBorder="1"/>
    <xf numFmtId="168" fontId="17" fillId="3" borderId="57" xfId="0" applyNumberFormat="1" applyFont="1" applyFill="1" applyBorder="1"/>
    <xf numFmtId="0" fontId="24" fillId="3" borderId="37" xfId="0" applyFont="1" applyFill="1" applyBorder="1"/>
    <xf numFmtId="0" fontId="17" fillId="16" borderId="57" xfId="0" applyFont="1" applyFill="1" applyBorder="1" applyAlignment="1">
      <alignment horizontal="center"/>
    </xf>
    <xf numFmtId="165" fontId="0" fillId="17" borderId="57" xfId="0" applyNumberFormat="1" applyFont="1" applyFill="1" applyBorder="1" applyAlignment="1">
      <alignment horizontal="center"/>
    </xf>
    <xf numFmtId="4" fontId="0" fillId="17" borderId="57" xfId="0" applyNumberFormat="1" applyFont="1" applyFill="1" applyBorder="1" applyAlignment="1">
      <alignment horizontal="center"/>
    </xf>
    <xf numFmtId="0" fontId="27" fillId="18" borderId="37" xfId="0" applyFont="1" applyFill="1" applyBorder="1"/>
    <xf numFmtId="0" fontId="27" fillId="18" borderId="37" xfId="0" applyFont="1" applyFill="1" applyBorder="1" applyAlignment="1">
      <alignment horizontal="center"/>
    </xf>
    <xf numFmtId="3" fontId="20" fillId="3" borderId="37" xfId="0" applyNumberFormat="1" applyFont="1" applyFill="1" applyBorder="1" applyAlignment="1">
      <alignment horizontal="center"/>
    </xf>
    <xf numFmtId="3" fontId="28" fillId="3" borderId="37" xfId="0" applyNumberFormat="1" applyFont="1" applyFill="1" applyBorder="1" applyAlignment="1">
      <alignment horizontal="center"/>
    </xf>
    <xf numFmtId="3" fontId="13" fillId="3" borderId="37" xfId="0" applyNumberFormat="1" applyFont="1" applyFill="1" applyBorder="1" applyAlignment="1">
      <alignment horizontal="center"/>
    </xf>
    <xf numFmtId="0" fontId="13" fillId="10" borderId="37" xfId="0" applyFont="1" applyFill="1" applyBorder="1"/>
    <xf numFmtId="0" fontId="13" fillId="10" borderId="37" xfId="0" applyFont="1" applyFill="1" applyBorder="1" applyAlignment="1">
      <alignment horizontal="center"/>
    </xf>
    <xf numFmtId="0" fontId="27" fillId="10" borderId="37" xfId="0" applyFont="1" applyFill="1" applyBorder="1" applyAlignment="1">
      <alignment horizontal="center"/>
    </xf>
    <xf numFmtId="0" fontId="15" fillId="3" borderId="57" xfId="0" applyFont="1" applyFill="1" applyBorder="1" applyAlignment="1">
      <alignment horizontal="center"/>
    </xf>
    <xf numFmtId="2" fontId="13" fillId="3" borderId="37" xfId="0" applyNumberFormat="1" applyFont="1" applyFill="1" applyBorder="1" applyAlignment="1">
      <alignment horizontal="center"/>
    </xf>
    <xf numFmtId="2" fontId="27" fillId="18" borderId="37" xfId="0" applyNumberFormat="1" applyFont="1" applyFill="1" applyBorder="1" applyAlignment="1">
      <alignment horizontal="center"/>
    </xf>
    <xf numFmtId="3" fontId="15" fillId="3" borderId="37" xfId="0" applyNumberFormat="1" applyFont="1" applyFill="1" applyBorder="1" applyAlignment="1">
      <alignment horizontal="center"/>
    </xf>
    <xf numFmtId="174" fontId="13" fillId="3" borderId="37" xfId="0" applyNumberFormat="1" applyFont="1" applyFill="1" applyBorder="1"/>
    <xf numFmtId="0" fontId="30" fillId="20" borderId="54" xfId="0" applyFont="1" applyFill="1" applyBorder="1"/>
    <xf numFmtId="167" fontId="31" fillId="20" borderId="57" xfId="0" applyNumberFormat="1" applyFont="1" applyFill="1" applyBorder="1"/>
    <xf numFmtId="0" fontId="2" fillId="4" borderId="57" xfId="0" applyFont="1" applyFill="1" applyBorder="1" applyAlignment="1">
      <alignment horizontal="center"/>
    </xf>
    <xf numFmtId="0" fontId="2" fillId="20" borderId="57" xfId="0" applyFont="1" applyFill="1" applyBorder="1" applyAlignment="1">
      <alignment horizontal="center"/>
    </xf>
    <xf numFmtId="165" fontId="31" fillId="20" borderId="57" xfId="0" applyNumberFormat="1" applyFont="1" applyFill="1" applyBorder="1"/>
    <xf numFmtId="0" fontId="6" fillId="7" borderId="54" xfId="0" applyFont="1" applyFill="1" applyBorder="1" applyAlignment="1"/>
    <xf numFmtId="169" fontId="7" fillId="7" borderId="57" xfId="0" applyNumberFormat="1" applyFont="1" applyFill="1" applyBorder="1"/>
    <xf numFmtId="9" fontId="7" fillId="7" borderId="57" xfId="0" applyNumberFormat="1" applyFont="1" applyFill="1" applyBorder="1" applyAlignment="1">
      <alignment horizontal="center"/>
    </xf>
    <xf numFmtId="0" fontId="6" fillId="21" borderId="54" xfId="0" applyFont="1" applyFill="1" applyBorder="1" applyAlignment="1"/>
    <xf numFmtId="170" fontId="7" fillId="21" borderId="57" xfId="0" applyNumberFormat="1" applyFont="1" applyFill="1" applyBorder="1"/>
    <xf numFmtId="0" fontId="2" fillId="14" borderId="57" xfId="0" applyFont="1" applyFill="1" applyBorder="1" applyAlignment="1">
      <alignment horizontal="center"/>
    </xf>
    <xf numFmtId="168" fontId="7" fillId="21" borderId="57" xfId="0" applyNumberFormat="1" applyFont="1" applyFill="1" applyBorder="1"/>
    <xf numFmtId="0" fontId="6" fillId="22" borderId="54" xfId="0" applyFont="1" applyFill="1" applyBorder="1" applyAlignment="1"/>
    <xf numFmtId="2" fontId="7" fillId="22" borderId="57" xfId="0" applyNumberFormat="1" applyFont="1" applyFill="1" applyBorder="1"/>
    <xf numFmtId="0" fontId="0" fillId="0" borderId="0" xfId="0" applyFont="1" applyAlignment="1"/>
    <xf numFmtId="0" fontId="34" fillId="3" borderId="37" xfId="0" applyFont="1" applyFill="1" applyBorder="1"/>
    <xf numFmtId="44" fontId="14" fillId="3" borderId="49" xfId="1" applyFont="1" applyFill="1" applyBorder="1"/>
    <xf numFmtId="44" fontId="14" fillId="3" borderId="51" xfId="1" applyFont="1" applyFill="1" applyBorder="1"/>
    <xf numFmtId="44" fontId="13" fillId="3" borderId="51" xfId="1" applyFont="1" applyFill="1" applyBorder="1"/>
    <xf numFmtId="44" fontId="13" fillId="3" borderId="53" xfId="1" applyFont="1" applyFill="1" applyBorder="1"/>
    <xf numFmtId="44" fontId="14" fillId="4" borderId="45" xfId="1" applyFont="1" applyFill="1" applyBorder="1"/>
    <xf numFmtId="44" fontId="14" fillId="3" borderId="48" xfId="1" applyFont="1" applyFill="1" applyBorder="1"/>
    <xf numFmtId="44" fontId="0" fillId="3" borderId="37" xfId="1" applyFont="1" applyFill="1" applyBorder="1"/>
    <xf numFmtId="44" fontId="13" fillId="3" borderId="37" xfId="1" applyFont="1" applyFill="1" applyBorder="1"/>
    <xf numFmtId="44" fontId="13" fillId="3" borderId="38" xfId="1" applyFont="1" applyFill="1" applyBorder="1"/>
    <xf numFmtId="44" fontId="13" fillId="3" borderId="51" xfId="1" applyFont="1" applyFill="1" applyBorder="1" applyAlignment="1">
      <alignment horizontal="right"/>
    </xf>
    <xf numFmtId="44" fontId="13" fillId="4" borderId="45" xfId="1" applyFont="1" applyFill="1" applyBorder="1"/>
    <xf numFmtId="44" fontId="0" fillId="3" borderId="48" xfId="1" applyFont="1" applyFill="1" applyBorder="1"/>
    <xf numFmtId="44" fontId="13" fillId="3" borderId="37" xfId="1" applyFont="1" applyFill="1" applyBorder="1" applyAlignment="1">
      <alignment horizontal="right"/>
    </xf>
    <xf numFmtId="44" fontId="13" fillId="3" borderId="48" xfId="1" applyFont="1" applyFill="1" applyBorder="1"/>
    <xf numFmtId="44" fontId="13" fillId="3" borderId="49" xfId="1" applyFont="1" applyFill="1" applyBorder="1"/>
    <xf numFmtId="0" fontId="0" fillId="23" borderId="0" xfId="0" applyFont="1" applyFill="1" applyAlignment="1"/>
    <xf numFmtId="0" fontId="21" fillId="10" borderId="57" xfId="0" applyFont="1" applyFill="1" applyBorder="1" applyAlignment="1">
      <alignment horizontal="left" vertical="center" wrapText="1"/>
    </xf>
    <xf numFmtId="44" fontId="0" fillId="0" borderId="0" xfId="0" applyNumberFormat="1" applyFont="1" applyAlignment="1"/>
    <xf numFmtId="0" fontId="34" fillId="3" borderId="57" xfId="0" applyFont="1" applyFill="1" applyBorder="1" applyAlignment="1">
      <alignment horizontal="right"/>
    </xf>
    <xf numFmtId="44" fontId="34" fillId="3" borderId="37" xfId="1" applyFont="1" applyFill="1" applyBorder="1"/>
    <xf numFmtId="3" fontId="39" fillId="3" borderId="37" xfId="0" applyNumberFormat="1" applyFont="1" applyFill="1" applyBorder="1" applyAlignment="1">
      <alignment horizontal="center"/>
    </xf>
    <xf numFmtId="0" fontId="14" fillId="3" borderId="37" xfId="0" applyFont="1" applyFill="1" applyBorder="1" applyAlignment="1">
      <alignment horizontal="center"/>
    </xf>
    <xf numFmtId="0" fontId="34" fillId="0" borderId="0" xfId="0" applyFont="1" applyAlignment="1"/>
    <xf numFmtId="0" fontId="34" fillId="0" borderId="81" xfId="0" applyFont="1" applyFill="1" applyBorder="1" applyAlignment="1"/>
    <xf numFmtId="0" fontId="7" fillId="24" borderId="57" xfId="0" applyFont="1" applyFill="1" applyBorder="1" applyAlignment="1">
      <alignment horizontal="center"/>
    </xf>
    <xf numFmtId="0" fontId="6" fillId="28" borderId="43" xfId="0" applyFont="1" applyFill="1" applyBorder="1"/>
    <xf numFmtId="165" fontId="6" fillId="28" borderId="43" xfId="0" applyNumberFormat="1" applyFont="1" applyFill="1" applyBorder="1"/>
    <xf numFmtId="165" fontId="6" fillId="28" borderId="57" xfId="0" applyNumberFormat="1" applyFont="1" applyFill="1" applyBorder="1"/>
    <xf numFmtId="164" fontId="6" fillId="28" borderId="57" xfId="0" applyNumberFormat="1" applyFont="1" applyFill="1" applyBorder="1"/>
    <xf numFmtId="0" fontId="6" fillId="28" borderId="57" xfId="0" applyFont="1" applyFill="1" applyBorder="1"/>
    <xf numFmtId="0" fontId="6" fillId="29" borderId="57" xfId="0" applyFont="1" applyFill="1" applyBorder="1"/>
    <xf numFmtId="165" fontId="6" fillId="29" borderId="57" xfId="0" applyNumberFormat="1" applyFont="1" applyFill="1" applyBorder="1"/>
    <xf numFmtId="165" fontId="15" fillId="29" borderId="57" xfId="0" applyNumberFormat="1" applyFont="1" applyFill="1" applyBorder="1"/>
    <xf numFmtId="0" fontId="15" fillId="30" borderId="63" xfId="0" applyFont="1" applyFill="1" applyBorder="1"/>
    <xf numFmtId="10" fontId="6" fillId="30" borderId="57" xfId="0" applyNumberFormat="1" applyFont="1" applyFill="1" applyBorder="1" applyAlignment="1">
      <alignment horizontal="center"/>
    </xf>
    <xf numFmtId="0" fontId="15" fillId="31" borderId="57" xfId="0" applyFont="1" applyFill="1" applyBorder="1"/>
    <xf numFmtId="9" fontId="6" fillId="31" borderId="62" xfId="0" applyNumberFormat="1" applyFont="1" applyFill="1" applyBorder="1" applyAlignment="1">
      <alignment horizontal="center"/>
    </xf>
    <xf numFmtId="0" fontId="15" fillId="32" borderId="57" xfId="0" applyFont="1" applyFill="1" applyBorder="1"/>
    <xf numFmtId="9" fontId="13" fillId="32" borderId="45" xfId="0" applyNumberFormat="1" applyFont="1" applyFill="1" applyBorder="1" applyAlignment="1">
      <alignment horizontal="center"/>
    </xf>
    <xf numFmtId="0" fontId="15" fillId="34" borderId="57" xfId="0" applyFont="1" applyFill="1" applyBorder="1"/>
    <xf numFmtId="9" fontId="15" fillId="34" borderId="45" xfId="0" applyNumberFormat="1" applyFont="1" applyFill="1" applyBorder="1" applyAlignment="1">
      <alignment horizontal="center"/>
    </xf>
    <xf numFmtId="0" fontId="6" fillId="35" borderId="57" xfId="0" applyFont="1" applyFill="1" applyBorder="1"/>
    <xf numFmtId="164" fontId="6" fillId="35" borderId="57" xfId="0" applyNumberFormat="1" applyFont="1" applyFill="1" applyBorder="1"/>
    <xf numFmtId="0" fontId="6" fillId="33" borderId="57" xfId="0" applyFont="1" applyFill="1" applyBorder="1"/>
    <xf numFmtId="164" fontId="6" fillId="33" borderId="57" xfId="0" applyNumberFormat="1" applyFont="1" applyFill="1" applyBorder="1"/>
    <xf numFmtId="165" fontId="6" fillId="33" borderId="57" xfId="0" applyNumberFormat="1" applyFont="1" applyFill="1" applyBorder="1"/>
    <xf numFmtId="0" fontId="6" fillId="28" borderId="57" xfId="0" applyFont="1" applyFill="1" applyBorder="1" applyAlignment="1">
      <alignment horizontal="center"/>
    </xf>
    <xf numFmtId="2" fontId="6" fillId="22" borderId="54" xfId="0" applyNumberFormat="1" applyFont="1" applyFill="1" applyBorder="1" applyAlignment="1"/>
    <xf numFmtId="2" fontId="6" fillId="21" borderId="54" xfId="0" applyNumberFormat="1" applyFont="1" applyFill="1" applyBorder="1" applyAlignment="1"/>
    <xf numFmtId="10" fontId="6" fillId="7" borderId="54" xfId="2" applyNumberFormat="1" applyFont="1" applyFill="1" applyBorder="1" applyAlignment="1"/>
    <xf numFmtId="44" fontId="30" fillId="20" borderId="54" xfId="1" applyFont="1" applyFill="1" applyBorder="1"/>
    <xf numFmtId="0" fontId="37" fillId="29" borderId="37" xfId="0" applyFont="1" applyFill="1" applyBorder="1" applyAlignment="1">
      <alignment wrapText="1"/>
    </xf>
    <xf numFmtId="0" fontId="6" fillId="27" borderId="37" xfId="0" applyFont="1" applyFill="1" applyBorder="1"/>
    <xf numFmtId="0" fontId="6" fillId="26" borderId="37" xfId="0" applyFont="1" applyFill="1" applyBorder="1"/>
    <xf numFmtId="10" fontId="0" fillId="0" borderId="0" xfId="0" applyNumberFormat="1" applyFont="1" applyAlignment="1"/>
    <xf numFmtId="2" fontId="0" fillId="0" borderId="0" xfId="0" applyNumberFormat="1" applyFont="1" applyAlignment="1"/>
    <xf numFmtId="4" fontId="0" fillId="0" borderId="0" xfId="0" applyNumberFormat="1" applyFont="1" applyAlignment="1"/>
    <xf numFmtId="0" fontId="0" fillId="3" borderId="81" xfId="0" applyFont="1" applyFill="1" applyBorder="1"/>
    <xf numFmtId="44" fontId="0" fillId="23" borderId="0" xfId="0" applyNumberFormat="1" applyFont="1" applyFill="1" applyAlignment="1"/>
    <xf numFmtId="0" fontId="34" fillId="23" borderId="0" xfId="0" applyFont="1" applyFill="1" applyAlignment="1"/>
    <xf numFmtId="0" fontId="34" fillId="37" borderId="81" xfId="0" applyFont="1" applyFill="1" applyBorder="1" applyAlignment="1">
      <alignment horizontal="center"/>
    </xf>
    <xf numFmtId="0" fontId="47" fillId="37" borderId="81" xfId="0" applyFont="1" applyFill="1" applyBorder="1" applyAlignment="1">
      <alignment vertical="center"/>
    </xf>
    <xf numFmtId="0" fontId="43" fillId="14" borderId="57" xfId="0" applyNumberFormat="1" applyFont="1" applyFill="1" applyBorder="1"/>
    <xf numFmtId="4" fontId="43" fillId="14" borderId="57" xfId="0" applyNumberFormat="1" applyFont="1" applyFill="1" applyBorder="1"/>
    <xf numFmtId="0" fontId="42" fillId="3" borderId="37" xfId="0" applyNumberFormat="1" applyFont="1" applyFill="1" applyBorder="1"/>
    <xf numFmtId="0" fontId="43" fillId="11" borderId="57" xfId="0" applyNumberFormat="1" applyFont="1" applyFill="1" applyBorder="1" applyAlignment="1">
      <alignment horizontal="center" wrapText="1"/>
    </xf>
    <xf numFmtId="0" fontId="43" fillId="11" borderId="57" xfId="0" applyNumberFormat="1" applyFont="1" applyFill="1" applyBorder="1" applyAlignment="1">
      <alignment horizontal="center" vertical="center"/>
    </xf>
    <xf numFmtId="0" fontId="43" fillId="11" borderId="57" xfId="0" applyNumberFormat="1" applyFont="1" applyFill="1" applyBorder="1" applyAlignment="1">
      <alignment horizontal="center"/>
    </xf>
    <xf numFmtId="0" fontId="44" fillId="3" borderId="58" xfId="0" applyNumberFormat="1" applyFont="1" applyFill="1" applyBorder="1"/>
    <xf numFmtId="0" fontId="45" fillId="3" borderId="58" xfId="0" applyNumberFormat="1" applyFont="1" applyFill="1" applyBorder="1"/>
    <xf numFmtId="0" fontId="45" fillId="3" borderId="74" xfId="0" applyNumberFormat="1" applyFont="1" applyFill="1" applyBorder="1"/>
    <xf numFmtId="0" fontId="44" fillId="3" borderId="60" xfId="0" applyNumberFormat="1" applyFont="1" applyFill="1" applyBorder="1"/>
    <xf numFmtId="0" fontId="45" fillId="3" borderId="60" xfId="0" applyNumberFormat="1" applyFont="1" applyFill="1" applyBorder="1"/>
    <xf numFmtId="0" fontId="45" fillId="3" borderId="37" xfId="0" applyNumberFormat="1" applyFont="1" applyFill="1" applyBorder="1"/>
    <xf numFmtId="0" fontId="44" fillId="12" borderId="57" xfId="0" applyNumberFormat="1" applyFont="1" applyFill="1" applyBorder="1" applyAlignment="1">
      <alignment wrapText="1"/>
    </xf>
    <xf numFmtId="0" fontId="44" fillId="3" borderId="60" xfId="0" applyNumberFormat="1" applyFont="1" applyFill="1" applyBorder="1" applyAlignment="1">
      <alignment wrapText="1"/>
    </xf>
    <xf numFmtId="0" fontId="44" fillId="13" borderId="57" xfId="0" applyNumberFormat="1" applyFont="1" applyFill="1" applyBorder="1"/>
    <xf numFmtId="4" fontId="45" fillId="3" borderId="60" xfId="0" applyNumberFormat="1" applyFont="1" applyFill="1" applyBorder="1" applyAlignment="1">
      <alignment horizontal="right"/>
    </xf>
    <xf numFmtId="4" fontId="44" fillId="12" borderId="57" xfId="0" applyNumberFormat="1" applyFont="1" applyFill="1" applyBorder="1" applyAlignment="1">
      <alignment horizontal="right" wrapText="1"/>
    </xf>
    <xf numFmtId="4" fontId="44" fillId="3" borderId="60" xfId="0" applyNumberFormat="1" applyFont="1" applyFill="1" applyBorder="1" applyAlignment="1">
      <alignment horizontal="right" wrapText="1"/>
    </xf>
    <xf numFmtId="4" fontId="44" fillId="13" borderId="57" xfId="0" applyNumberFormat="1" applyFont="1" applyFill="1" applyBorder="1" applyAlignment="1">
      <alignment horizontal="right"/>
    </xf>
    <xf numFmtId="4" fontId="45" fillId="3" borderId="60" xfId="0" applyNumberFormat="1" applyFont="1" applyFill="1" applyBorder="1" applyAlignment="1">
      <alignment horizontal="center"/>
    </xf>
    <xf numFmtId="4" fontId="45" fillId="3" borderId="37" xfId="0" applyNumberFormat="1" applyFont="1" applyFill="1" applyBorder="1" applyAlignment="1">
      <alignment horizontal="center"/>
    </xf>
    <xf numFmtId="4" fontId="45" fillId="3" borderId="60" xfId="0" applyNumberFormat="1" applyFont="1" applyFill="1" applyBorder="1"/>
    <xf numFmtId="4" fontId="45" fillId="3" borderId="37" xfId="0" applyNumberFormat="1" applyFont="1" applyFill="1" applyBorder="1"/>
    <xf numFmtId="4" fontId="44" fillId="12" borderId="57" xfId="0" applyNumberFormat="1" applyFont="1" applyFill="1" applyBorder="1"/>
    <xf numFmtId="4" fontId="44" fillId="12" borderId="58" xfId="0" applyNumberFormat="1" applyFont="1" applyFill="1" applyBorder="1"/>
    <xf numFmtId="4" fontId="44" fillId="3" borderId="60" xfId="0" applyNumberFormat="1" applyFont="1" applyFill="1" applyBorder="1"/>
    <xf numFmtId="4" fontId="44" fillId="3" borderId="52" xfId="0" applyNumberFormat="1" applyFont="1" applyFill="1" applyBorder="1"/>
    <xf numFmtId="4" fontId="44" fillId="3" borderId="82" xfId="0" applyNumberFormat="1" applyFont="1" applyFill="1" applyBorder="1"/>
    <xf numFmtId="4" fontId="44" fillId="3" borderId="53" xfId="0" applyNumberFormat="1" applyFont="1" applyFill="1" applyBorder="1"/>
    <xf numFmtId="4" fontId="45" fillId="3" borderId="52" xfId="0" applyNumberFormat="1" applyFont="1" applyFill="1" applyBorder="1" applyAlignment="1">
      <alignment horizontal="center"/>
    </xf>
    <xf numFmtId="4" fontId="45" fillId="3" borderId="83" xfId="0" applyNumberFormat="1" applyFont="1" applyFill="1" applyBorder="1"/>
    <xf numFmtId="4" fontId="45" fillId="3" borderId="81" xfId="0" applyNumberFormat="1" applyFont="1" applyFill="1" applyBorder="1"/>
    <xf numFmtId="4" fontId="45" fillId="3" borderId="84" xfId="0" applyNumberFormat="1" applyFont="1" applyFill="1" applyBorder="1"/>
    <xf numFmtId="4" fontId="45" fillId="3" borderId="53" xfId="0" applyNumberFormat="1" applyFont="1" applyFill="1" applyBorder="1"/>
    <xf numFmtId="4" fontId="44" fillId="13" borderId="57" xfId="0" applyNumberFormat="1" applyFont="1" applyFill="1" applyBorder="1" applyAlignment="1">
      <alignment horizontal="center"/>
    </xf>
    <xf numFmtId="4" fontId="44" fillId="13" borderId="57" xfId="0" applyNumberFormat="1" applyFont="1" applyFill="1" applyBorder="1"/>
    <xf numFmtId="4" fontId="44" fillId="13" borderId="61" xfId="0" applyNumberFormat="1" applyFont="1" applyFill="1" applyBorder="1"/>
    <xf numFmtId="4" fontId="46" fillId="13" borderId="57" xfId="0" applyNumberFormat="1" applyFont="1" applyFill="1" applyBorder="1"/>
    <xf numFmtId="4" fontId="0" fillId="3" borderId="42" xfId="0" applyNumberFormat="1" applyFont="1" applyFill="1" applyBorder="1" applyAlignment="1">
      <alignment horizontal="center"/>
    </xf>
    <xf numFmtId="4" fontId="17" fillId="6" borderId="59" xfId="0" applyNumberFormat="1" applyFont="1" applyFill="1" applyBorder="1" applyAlignment="1">
      <alignment horizontal="center"/>
    </xf>
    <xf numFmtId="4" fontId="17" fillId="6" borderId="72" xfId="0" applyNumberFormat="1" applyFont="1" applyFill="1" applyBorder="1" applyAlignment="1">
      <alignment horizontal="center"/>
    </xf>
    <xf numFmtId="4" fontId="0" fillId="3" borderId="46" xfId="0" applyNumberFormat="1" applyFont="1" applyFill="1" applyBorder="1" applyAlignment="1">
      <alignment horizontal="center"/>
    </xf>
    <xf numFmtId="4" fontId="34" fillId="36" borderId="43" xfId="0" applyNumberFormat="1" applyFont="1" applyFill="1" applyBorder="1" applyAlignment="1">
      <alignment horizontal="center"/>
    </xf>
    <xf numFmtId="4" fontId="0" fillId="36" borderId="45" xfId="0" applyNumberFormat="1" applyFont="1" applyFill="1" applyBorder="1" applyAlignment="1">
      <alignment horizontal="center"/>
    </xf>
    <xf numFmtId="4" fontId="0" fillId="36" borderId="63" xfId="0" applyNumberFormat="1" applyFont="1" applyFill="1" applyBorder="1" applyAlignment="1">
      <alignment horizontal="center"/>
    </xf>
    <xf numFmtId="4" fontId="0" fillId="36" borderId="62" xfId="0" applyNumberFormat="1" applyFont="1" applyFill="1" applyBorder="1" applyAlignment="1">
      <alignment horizontal="center"/>
    </xf>
    <xf numFmtId="4" fontId="0" fillId="3" borderId="37" xfId="0" applyNumberFormat="1" applyFont="1" applyFill="1" applyBorder="1" applyAlignment="1">
      <alignment horizontal="center"/>
    </xf>
    <xf numFmtId="4" fontId="0" fillId="3" borderId="38" xfId="0" applyNumberFormat="1" applyFont="1" applyFill="1" applyBorder="1" applyAlignment="1">
      <alignment horizontal="center"/>
    </xf>
    <xf numFmtId="4" fontId="38" fillId="36" borderId="47" xfId="0" applyNumberFormat="1" applyFont="1" applyFill="1" applyBorder="1" applyAlignment="1">
      <alignment horizontal="center"/>
    </xf>
    <xf numFmtId="4" fontId="38" fillId="36" borderId="48" xfId="0" applyNumberFormat="1" applyFont="1" applyFill="1" applyBorder="1" applyAlignment="1">
      <alignment horizontal="center"/>
    </xf>
    <xf numFmtId="4" fontId="38" fillId="36" borderId="49" xfId="0" applyNumberFormat="1" applyFont="1" applyFill="1" applyBorder="1" applyAlignment="1">
      <alignment horizontal="center"/>
    </xf>
    <xf numFmtId="4" fontId="0" fillId="36" borderId="59" xfId="0" applyNumberFormat="1" applyFont="1" applyFill="1" applyBorder="1" applyAlignment="1">
      <alignment horizontal="center"/>
    </xf>
    <xf numFmtId="4" fontId="0" fillId="36" borderId="74" xfId="0" applyNumberFormat="1" applyFont="1" applyFill="1" applyBorder="1" applyAlignment="1">
      <alignment horizontal="center"/>
    </xf>
    <xf numFmtId="4" fontId="0" fillId="36" borderId="72" xfId="0" applyNumberFormat="1" applyFont="1" applyFill="1" applyBorder="1" applyAlignment="1">
      <alignment horizontal="center"/>
    </xf>
    <xf numFmtId="4" fontId="0" fillId="36" borderId="43" xfId="0" applyNumberFormat="1" applyFont="1" applyFill="1" applyBorder="1" applyAlignment="1">
      <alignment horizontal="center"/>
    </xf>
    <xf numFmtId="4" fontId="0" fillId="36" borderId="44" xfId="0" applyNumberFormat="1" applyFont="1" applyFill="1" applyBorder="1" applyAlignment="1">
      <alignment horizontal="center"/>
    </xf>
    <xf numFmtId="4" fontId="0" fillId="36" borderId="75" xfId="0" applyNumberFormat="1" applyFont="1" applyFill="1" applyBorder="1" applyAlignment="1">
      <alignment horizontal="center"/>
    </xf>
    <xf numFmtId="4" fontId="0" fillId="36" borderId="50" xfId="0" applyNumberFormat="1" applyFont="1" applyFill="1" applyBorder="1" applyAlignment="1">
      <alignment horizontal="center"/>
    </xf>
    <xf numFmtId="4" fontId="0" fillId="36" borderId="37" xfId="0" applyNumberFormat="1" applyFont="1" applyFill="1" applyBorder="1" applyAlignment="1">
      <alignment horizontal="center"/>
    </xf>
    <xf numFmtId="4" fontId="0" fillId="36" borderId="76" xfId="0" applyNumberFormat="1" applyFont="1" applyFill="1" applyBorder="1" applyAlignment="1">
      <alignment horizontal="center"/>
    </xf>
    <xf numFmtId="4" fontId="0" fillId="36" borderId="77" xfId="0" applyNumberFormat="1" applyFont="1" applyFill="1" applyBorder="1" applyAlignment="1">
      <alignment horizontal="center"/>
    </xf>
    <xf numFmtId="4" fontId="0" fillId="36" borderId="78" xfId="0" applyNumberFormat="1" applyFont="1" applyFill="1" applyBorder="1" applyAlignment="1">
      <alignment horizontal="center"/>
    </xf>
    <xf numFmtId="4" fontId="0" fillId="36" borderId="54" xfId="0" applyNumberFormat="1" applyFont="1" applyFill="1" applyBorder="1" applyAlignment="1">
      <alignment horizontal="center"/>
    </xf>
    <xf numFmtId="4" fontId="0" fillId="36" borderId="73" xfId="0" applyNumberFormat="1" applyFont="1" applyFill="1" applyBorder="1" applyAlignment="1">
      <alignment horizontal="center"/>
    </xf>
    <xf numFmtId="4" fontId="0" fillId="3" borderId="48" xfId="0" applyNumberFormat="1" applyFont="1" applyFill="1" applyBorder="1" applyAlignment="1">
      <alignment horizontal="center"/>
    </xf>
    <xf numFmtId="4" fontId="17" fillId="6" borderId="79" xfId="0" applyNumberFormat="1" applyFont="1" applyFill="1" applyBorder="1" applyAlignment="1">
      <alignment horizontal="center"/>
    </xf>
    <xf numFmtId="4" fontId="17" fillId="6" borderId="80" xfId="0" applyNumberFormat="1" applyFont="1" applyFill="1" applyBorder="1" applyAlignment="1">
      <alignment horizontal="center"/>
    </xf>
    <xf numFmtId="4" fontId="0" fillId="36" borderId="57" xfId="0" applyNumberFormat="1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 vertical="center" wrapText="1"/>
    </xf>
    <xf numFmtId="0" fontId="2" fillId="0" borderId="13" xfId="0" applyFont="1" applyBorder="1"/>
    <xf numFmtId="0" fontId="2" fillId="0" borderId="14" xfId="0" applyFont="1" applyBorder="1"/>
    <xf numFmtId="0" fontId="2" fillId="0" borderId="4" xfId="0" applyFont="1" applyBorder="1"/>
    <xf numFmtId="0" fontId="0" fillId="0" borderId="0" xfId="0" applyFont="1" applyAlignme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0" borderId="1" xfId="0" applyFont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4" fillId="0" borderId="15" xfId="0" applyFont="1" applyBorder="1" applyAlignment="1">
      <alignment horizontal="center"/>
    </xf>
    <xf numFmtId="0" fontId="2" fillId="0" borderId="16" xfId="0" applyFont="1" applyBorder="1"/>
    <xf numFmtId="0" fontId="2" fillId="0" borderId="17" xfId="0" applyFont="1" applyBorder="1"/>
    <xf numFmtId="0" fontId="35" fillId="3" borderId="20" xfId="0" applyFont="1" applyFill="1" applyBorder="1" applyAlignment="1">
      <alignment horizontal="center" vertical="center" wrapText="1"/>
    </xf>
    <xf numFmtId="0" fontId="36" fillId="0" borderId="21" xfId="0" applyFont="1" applyBorder="1" applyAlignment="1">
      <alignment vertical="center" wrapText="1"/>
    </xf>
    <xf numFmtId="0" fontId="36" fillId="0" borderId="22" xfId="0" applyFont="1" applyBorder="1" applyAlignment="1">
      <alignment vertical="center" wrapText="1"/>
    </xf>
    <xf numFmtId="0" fontId="12" fillId="3" borderId="39" xfId="0" applyFont="1" applyFill="1" applyBorder="1" applyAlignment="1">
      <alignment horizontal="center"/>
    </xf>
    <xf numFmtId="0" fontId="2" fillId="0" borderId="40" xfId="0" applyFont="1" applyBorder="1"/>
    <xf numFmtId="0" fontId="2" fillId="0" borderId="41" xfId="0" applyFont="1" applyBorder="1"/>
    <xf numFmtId="0" fontId="13" fillId="3" borderId="38" xfId="0" applyFont="1" applyFill="1" applyBorder="1" applyAlignment="1">
      <alignment horizontal="left" vertical="center"/>
    </xf>
    <xf numFmtId="0" fontId="2" fillId="0" borderId="48" xfId="0" applyFont="1" applyBorder="1"/>
    <xf numFmtId="0" fontId="13" fillId="3" borderId="38" xfId="0" applyFont="1" applyFill="1" applyBorder="1" applyAlignment="1">
      <alignment horizontal="right" vertical="center"/>
    </xf>
    <xf numFmtId="44" fontId="13" fillId="3" borderId="38" xfId="1" applyFont="1" applyFill="1" applyBorder="1" applyAlignment="1">
      <alignment horizontal="right"/>
    </xf>
    <xf numFmtId="44" fontId="2" fillId="0" borderId="48" xfId="1" applyFont="1" applyBorder="1"/>
    <xf numFmtId="44" fontId="13" fillId="3" borderId="53" xfId="1" applyFont="1" applyFill="1" applyBorder="1" applyAlignment="1">
      <alignment horizontal="right"/>
    </xf>
    <xf numFmtId="44" fontId="2" fillId="0" borderId="49" xfId="1" applyFont="1" applyBorder="1"/>
    <xf numFmtId="0" fontId="14" fillId="4" borderId="54" xfId="0" applyFont="1" applyFill="1" applyBorder="1" applyAlignment="1">
      <alignment horizontal="center"/>
    </xf>
    <xf numFmtId="0" fontId="2" fillId="0" borderId="55" xfId="0" applyFont="1" applyBorder="1"/>
    <xf numFmtId="0" fontId="2" fillId="0" borderId="56" xfId="0" applyFont="1" applyBorder="1"/>
    <xf numFmtId="0" fontId="13" fillId="3" borderId="52" xfId="0" applyFont="1" applyFill="1" applyBorder="1" applyAlignment="1">
      <alignment horizontal="left" wrapText="1"/>
    </xf>
    <xf numFmtId="0" fontId="2" fillId="0" borderId="47" xfId="0" applyFont="1" applyBorder="1"/>
    <xf numFmtId="0" fontId="13" fillId="3" borderId="38" xfId="0" applyFont="1" applyFill="1" applyBorder="1" applyAlignment="1">
      <alignment horizontal="right"/>
    </xf>
    <xf numFmtId="0" fontId="13" fillId="3" borderId="52" xfId="0" applyFont="1" applyFill="1" applyBorder="1" applyAlignment="1">
      <alignment horizontal="center" wrapText="1"/>
    </xf>
    <xf numFmtId="0" fontId="15" fillId="3" borderId="28" xfId="0" applyFont="1" applyFill="1" applyBorder="1" applyAlignment="1">
      <alignment horizontal="center"/>
    </xf>
    <xf numFmtId="0" fontId="2" fillId="0" borderId="23" xfId="0" applyFont="1" applyBorder="1"/>
    <xf numFmtId="0" fontId="19" fillId="3" borderId="28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4" fontId="17" fillId="6" borderId="54" xfId="0" applyNumberFormat="1" applyFont="1" applyFill="1" applyBorder="1" applyAlignment="1">
      <alignment horizontal="center"/>
    </xf>
    <xf numFmtId="4" fontId="2" fillId="0" borderId="55" xfId="0" applyNumberFormat="1" applyFont="1" applyBorder="1"/>
    <xf numFmtId="4" fontId="2" fillId="0" borderId="73" xfId="0" applyNumberFormat="1" applyFont="1" applyBorder="1"/>
    <xf numFmtId="0" fontId="13" fillId="7" borderId="42" xfId="0" applyFont="1" applyFill="1" applyBorder="1" applyAlignment="1">
      <alignment horizontal="center"/>
    </xf>
    <xf numFmtId="0" fontId="2" fillId="0" borderId="81" xfId="0" applyFont="1" applyBorder="1"/>
    <xf numFmtId="0" fontId="2" fillId="0" borderId="46" xfId="0" applyFont="1" applyBorder="1"/>
    <xf numFmtId="0" fontId="22" fillId="7" borderId="42" xfId="0" applyFont="1" applyFill="1" applyBorder="1" applyAlignment="1">
      <alignment horizontal="center"/>
    </xf>
    <xf numFmtId="0" fontId="34" fillId="38" borderId="81" xfId="0" applyFont="1" applyFill="1" applyBorder="1" applyAlignment="1">
      <alignment horizontal="center" vertical="center" wrapText="1"/>
    </xf>
    <xf numFmtId="2" fontId="15" fillId="3" borderId="54" xfId="0" applyNumberFormat="1" applyFont="1" applyFill="1" applyBorder="1" applyAlignment="1">
      <alignment horizontal="center"/>
    </xf>
    <xf numFmtId="0" fontId="2" fillId="0" borderId="73" xfId="0" applyFont="1" applyBorder="1"/>
    <xf numFmtId="174" fontId="15" fillId="3" borderId="54" xfId="0" applyNumberFormat="1" applyFont="1" applyFill="1" applyBorder="1" applyAlignment="1">
      <alignment horizontal="center"/>
    </xf>
    <xf numFmtId="0" fontId="15" fillId="4" borderId="54" xfId="0" applyFont="1" applyFill="1" applyBorder="1" applyAlignment="1">
      <alignment horizontal="center"/>
    </xf>
    <xf numFmtId="0" fontId="25" fillId="3" borderId="42" xfId="0" applyFont="1" applyFill="1" applyBorder="1" applyAlignment="1">
      <alignment horizontal="left" wrapText="1"/>
    </xf>
    <xf numFmtId="0" fontId="26" fillId="3" borderId="37" xfId="0" applyFont="1" applyFill="1" applyBorder="1" applyAlignment="1">
      <alignment horizontal="center"/>
    </xf>
    <xf numFmtId="0" fontId="34" fillId="0" borderId="81" xfId="0" applyFont="1" applyBorder="1" applyAlignment="1">
      <alignment horizontal="center"/>
    </xf>
    <xf numFmtId="0" fontId="29" fillId="19" borderId="0" xfId="0" applyFont="1" applyFill="1" applyAlignment="1">
      <alignment horizontal="center"/>
    </xf>
    <xf numFmtId="0" fontId="30" fillId="20" borderId="54" xfId="0" applyFont="1" applyFill="1" applyBorder="1"/>
    <xf numFmtId="0" fontId="32" fillId="0" borderId="0" xfId="0" applyFont="1" applyAlignment="1"/>
    <xf numFmtId="0" fontId="40" fillId="25" borderId="0" xfId="0" applyFont="1" applyFill="1" applyAlignment="1">
      <alignment horizontal="center"/>
    </xf>
    <xf numFmtId="0" fontId="41" fillId="25" borderId="0" xfId="0" applyFont="1" applyFill="1" applyAlignment="1"/>
    <xf numFmtId="0" fontId="30" fillId="20" borderId="54" xfId="0" applyFont="1" applyFill="1" applyBorder="1" applyAlignment="1"/>
    <xf numFmtId="0" fontId="6" fillId="7" borderId="54" xfId="0" applyFont="1" applyFill="1" applyBorder="1" applyAlignment="1"/>
    <xf numFmtId="0" fontId="6" fillId="21" borderId="54" xfId="0" applyFont="1" applyFill="1" applyBorder="1" applyAlignment="1"/>
    <xf numFmtId="0" fontId="6" fillId="22" borderId="54" xfId="0" applyFont="1" applyFill="1" applyBorder="1" applyAlignment="1"/>
    <xf numFmtId="0" fontId="8" fillId="0" borderId="25" xfId="0" applyFont="1" applyBorder="1" applyAlignment="1">
      <alignment horizontal="center"/>
    </xf>
    <xf numFmtId="0" fontId="9" fillId="0" borderId="29" xfId="0" applyFont="1" applyBorder="1" applyAlignment="1">
      <alignment horizontal="center"/>
    </xf>
    <xf numFmtId="0" fontId="10" fillId="0" borderId="25" xfId="0" applyFont="1" applyBorder="1" applyAlignment="1">
      <alignment horizontal="center"/>
    </xf>
    <xf numFmtId="0" fontId="10" fillId="0" borderId="31" xfId="0" applyFont="1" applyBorder="1" applyAlignment="1">
      <alignment horizont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FC Economico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92F4-4E7D-BB86-957F4430608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FC!$B$51:$G$51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FC!$B$52:$G$52</c:f>
              <c:numCache>
                <c:formatCode>#,##0.00_ ;[Red]\-#,##0.00\ </c:formatCode>
                <c:ptCount val="6"/>
                <c:pt idx="0" formatCode="#,##0_ ;[Red]\-#,##0\ ">
                  <c:v>-1409422.7500000002</c:v>
                </c:pt>
                <c:pt idx="1">
                  <c:v>913251.29169999994</c:v>
                </c:pt>
                <c:pt idx="2">
                  <c:v>959686.04822499957</c:v>
                </c:pt>
                <c:pt idx="3">
                  <c:v>1006368.2490262492</c:v>
                </c:pt>
                <c:pt idx="4">
                  <c:v>1053049.9790175632</c:v>
                </c:pt>
                <c:pt idx="5">
                  <c:v>2048307.7753084404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97-4689-8303-D3E11A72D16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55596672"/>
        <c:axId val="555597328"/>
      </c:barChart>
      <c:catAx>
        <c:axId val="555596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597328"/>
        <c:crosses val="autoZero"/>
        <c:auto val="1"/>
        <c:lblAlgn val="ctr"/>
        <c:lblOffset val="100"/>
        <c:noMultiLvlLbl val="0"/>
      </c:catAx>
      <c:valAx>
        <c:axId val="55559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;[Red]\-#,##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596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FC Financiero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FC!$B$51:$G$51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FC!$B$53:$G$53</c:f>
              <c:numCache>
                <c:formatCode>#,##0_ ;[Red]\-#,##0\ </c:formatCode>
                <c:ptCount val="6"/>
                <c:pt idx="0">
                  <c:v>-865548.9600000002</c:v>
                </c:pt>
                <c:pt idx="1">
                  <c:v>763773.36257280153</c:v>
                </c:pt>
                <c:pt idx="2">
                  <c:v>805822.98318616918</c:v>
                </c:pt>
                <c:pt idx="3">
                  <c:v>847243.02089346049</c:v>
                </c:pt>
                <c:pt idx="4">
                  <c:v>887610.15517202462</c:v>
                </c:pt>
                <c:pt idx="5">
                  <c:v>1875290.4366076018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F5-4D86-A708-E1702AD6CC7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51902952"/>
        <c:axId val="551900984"/>
      </c:barChart>
      <c:catAx>
        <c:axId val="551902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900984"/>
        <c:crosses val="autoZero"/>
        <c:auto val="1"/>
        <c:lblAlgn val="ctr"/>
        <c:lblOffset val="100"/>
        <c:noMultiLvlLbl val="0"/>
      </c:catAx>
      <c:valAx>
        <c:axId val="551900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;[Red]\-#,##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902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Beneficio y Costo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(FC!$A$59,FC!$A$64)</c:f>
              <c:strCache>
                <c:ptCount val="2"/>
                <c:pt idx="0">
                  <c:v>Beneficio Costo E (B/C E)</c:v>
                </c:pt>
                <c:pt idx="1">
                  <c:v>Beneficio Costo F (B/C F)</c:v>
                </c:pt>
              </c:strCache>
            </c:strRef>
          </c:cat>
          <c:val>
            <c:numRef>
              <c:f>(FC!$B$59,FC!$B$64)</c:f>
              <c:numCache>
                <c:formatCode>0.00</c:formatCode>
                <c:ptCount val="2"/>
                <c:pt idx="0">
                  <c:v>2.5139409418775305</c:v>
                </c:pt>
                <c:pt idx="1">
                  <c:v>3.3135845654649296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DF-41D6-985D-FB366FA187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59419640"/>
        <c:axId val="559416360"/>
      </c:barChart>
      <c:catAx>
        <c:axId val="559419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416360"/>
        <c:crosses val="autoZero"/>
        <c:auto val="1"/>
        <c:lblAlgn val="ctr"/>
        <c:lblOffset val="100"/>
        <c:noMultiLvlLbl val="0"/>
      </c:catAx>
      <c:valAx>
        <c:axId val="559416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419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295275</xdr:colOff>
      <xdr:row>1</xdr:row>
      <xdr:rowOff>123825</xdr:rowOff>
    </xdr:from>
    <xdr:ext cx="2552700" cy="3009900"/>
    <xdr:pic>
      <xdr:nvPicPr>
        <xdr:cNvPr id="2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2</xdr:row>
      <xdr:rowOff>123825</xdr:rowOff>
    </xdr:from>
    <xdr:ext cx="2752725" cy="2533650"/>
    <xdr:pic>
      <xdr:nvPicPr>
        <xdr:cNvPr id="3" name="image2.png" title="Imagen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339844</xdr:colOff>
      <xdr:row>42</xdr:row>
      <xdr:rowOff>44986</xdr:rowOff>
    </xdr:from>
    <xdr:to>
      <xdr:col>16</xdr:col>
      <xdr:colOff>21979</xdr:colOff>
      <xdr:row>55</xdr:row>
      <xdr:rowOff>153281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343727</xdr:colOff>
      <xdr:row>56</xdr:row>
      <xdr:rowOff>160683</xdr:rowOff>
    </xdr:from>
    <xdr:to>
      <xdr:col>15</xdr:col>
      <xdr:colOff>710712</xdr:colOff>
      <xdr:row>70</xdr:row>
      <xdr:rowOff>120926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271096</xdr:colOff>
      <xdr:row>56</xdr:row>
      <xdr:rowOff>193813</xdr:rowOff>
    </xdr:from>
    <xdr:to>
      <xdr:col>7</xdr:col>
      <xdr:colOff>710712</xdr:colOff>
      <xdr:row>70</xdr:row>
      <xdr:rowOff>154056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164523</xdr:colOff>
      <xdr:row>66</xdr:row>
      <xdr:rowOff>41414</xdr:rowOff>
    </xdr:from>
    <xdr:to>
      <xdr:col>7</xdr:col>
      <xdr:colOff>248479</xdr:colOff>
      <xdr:row>66</xdr:row>
      <xdr:rowOff>43296</xdr:rowOff>
    </xdr:to>
    <xdr:cxnSp macro="">
      <xdr:nvCxnSpPr>
        <xdr:cNvPr id="7" name="Conector recto 6"/>
        <xdr:cNvCxnSpPr/>
      </xdr:nvCxnSpPr>
      <xdr:spPr>
        <a:xfrm flipV="1">
          <a:off x="6022398" y="13069016"/>
          <a:ext cx="4010854" cy="188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703385</xdr:colOff>
      <xdr:row>66</xdr:row>
      <xdr:rowOff>60599</xdr:rowOff>
    </xdr:from>
    <xdr:to>
      <xdr:col>5</xdr:col>
      <xdr:colOff>593481</xdr:colOff>
      <xdr:row>71</xdr:row>
      <xdr:rowOff>102012</xdr:rowOff>
    </xdr:to>
    <xdr:sp macro="" textlink="">
      <xdr:nvSpPr>
        <xdr:cNvPr id="9" name="Flecha abajo 8"/>
        <xdr:cNvSpPr/>
      </xdr:nvSpPr>
      <xdr:spPr>
        <a:xfrm>
          <a:off x="7554058" y="13043907"/>
          <a:ext cx="893885" cy="1030547"/>
        </a:xfrm>
        <a:prstGeom prst="downArrow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0.47096</cdr:x>
      <cdr:y>0.2914</cdr:y>
    </cdr:from>
    <cdr:to>
      <cdr:x>0.62857</cdr:x>
      <cdr:y>0.66882</cdr:y>
    </cdr:to>
    <cdr:sp macro="" textlink="">
      <cdr:nvSpPr>
        <cdr:cNvPr id="2" name="Flecha abajo 1"/>
        <cdr:cNvSpPr/>
      </cdr:nvSpPr>
      <cdr:spPr>
        <a:xfrm xmlns:a="http://schemas.openxmlformats.org/drawingml/2006/main" rot="10800000">
          <a:off x="2622514" y="795476"/>
          <a:ext cx="877646" cy="1030290"/>
        </a:xfrm>
        <a:prstGeom xmlns:a="http://schemas.openxmlformats.org/drawingml/2006/main" prst="downArrow">
          <a:avLst/>
        </a:prstGeom>
        <a:solidFill xmlns:a="http://schemas.openxmlformats.org/drawingml/2006/main">
          <a:schemeClr val="accent6"/>
        </a:solidFill>
        <a:ln xmlns:a="http://schemas.openxmlformats.org/drawingml/2006/main">
          <a:solidFill>
            <a:sysClr val="windowText" lastClr="0000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D3:I1000"/>
  <sheetViews>
    <sheetView tabSelected="1" zoomScale="130" zoomScaleNormal="130" workbookViewId="0">
      <selection activeCell="D11" sqref="D11:I11"/>
    </sheetView>
  </sheetViews>
  <sheetFormatPr baseColWidth="10" defaultColWidth="12.625" defaultRowHeight="15" customHeight="1" x14ac:dyDescent="0.2"/>
  <cols>
    <col min="1" max="4" width="12.625" customWidth="1"/>
    <col min="5" max="5" width="14" customWidth="1"/>
    <col min="6" max="6" width="12.625" customWidth="1"/>
    <col min="7" max="7" width="25.125" customWidth="1"/>
  </cols>
  <sheetData>
    <row r="3" spans="4:9" ht="14.25" x14ac:dyDescent="0.2">
      <c r="D3" s="336" t="s">
        <v>0</v>
      </c>
      <c r="E3" s="337"/>
      <c r="F3" s="337"/>
      <c r="G3" s="337"/>
      <c r="H3" s="337"/>
      <c r="I3" s="338"/>
    </row>
    <row r="4" spans="4:9" ht="14.25" x14ac:dyDescent="0.2">
      <c r="D4" s="330"/>
      <c r="E4" s="331"/>
      <c r="F4" s="331"/>
      <c r="G4" s="331"/>
      <c r="H4" s="331"/>
      <c r="I4" s="332"/>
    </row>
    <row r="5" spans="4:9" ht="15" customHeight="1" x14ac:dyDescent="0.2">
      <c r="D5" s="333"/>
      <c r="E5" s="334"/>
      <c r="F5" s="334"/>
      <c r="G5" s="334"/>
      <c r="H5" s="334"/>
      <c r="I5" s="335"/>
    </row>
    <row r="6" spans="4:9" ht="15" customHeight="1" x14ac:dyDescent="0.2">
      <c r="D6" s="1"/>
      <c r="E6" s="2"/>
      <c r="F6" s="2"/>
      <c r="G6" s="2"/>
      <c r="H6" s="2"/>
      <c r="I6" s="3"/>
    </row>
    <row r="7" spans="4:9" ht="15" customHeight="1" x14ac:dyDescent="0.2">
      <c r="D7" s="327" t="s">
        <v>1</v>
      </c>
      <c r="E7" s="328"/>
      <c r="F7" s="328"/>
      <c r="G7" s="328"/>
      <c r="H7" s="328"/>
      <c r="I7" s="329"/>
    </row>
    <row r="8" spans="4:9" ht="15" customHeight="1" x14ac:dyDescent="0.2">
      <c r="D8" s="330"/>
      <c r="E8" s="331"/>
      <c r="F8" s="331"/>
      <c r="G8" s="331"/>
      <c r="H8" s="331"/>
      <c r="I8" s="332"/>
    </row>
    <row r="9" spans="4:9" ht="15" customHeight="1" x14ac:dyDescent="0.2">
      <c r="D9" s="330"/>
      <c r="E9" s="331"/>
      <c r="F9" s="331"/>
      <c r="G9" s="331"/>
      <c r="H9" s="331"/>
      <c r="I9" s="332"/>
    </row>
    <row r="10" spans="4:9" ht="15" customHeight="1" x14ac:dyDescent="0.2">
      <c r="D10" s="333"/>
      <c r="E10" s="334"/>
      <c r="F10" s="334"/>
      <c r="G10" s="334"/>
      <c r="H10" s="334"/>
      <c r="I10" s="335"/>
    </row>
    <row r="11" spans="4:9" ht="19.5" x14ac:dyDescent="0.3">
      <c r="D11" s="339" t="s">
        <v>2</v>
      </c>
      <c r="E11" s="340"/>
      <c r="F11" s="340"/>
      <c r="G11" s="340"/>
      <c r="H11" s="340"/>
      <c r="I11" s="341"/>
    </row>
    <row r="12" spans="4:9" ht="15" customHeight="1" x14ac:dyDescent="0.2">
      <c r="D12" s="4"/>
      <c r="E12" s="5"/>
      <c r="F12" s="5"/>
      <c r="G12" s="5"/>
      <c r="H12" s="5"/>
      <c r="I12" s="6"/>
    </row>
    <row r="13" spans="4:9" ht="34.5" customHeight="1" x14ac:dyDescent="0.2">
      <c r="E13" s="342" t="s">
        <v>204</v>
      </c>
      <c r="F13" s="343"/>
      <c r="G13" s="343"/>
      <c r="H13" s="344"/>
      <c r="I13" s="7"/>
    </row>
    <row r="14" spans="4:9" ht="15" customHeight="1" x14ac:dyDescent="0.25">
      <c r="D14" s="8"/>
      <c r="E14" s="4"/>
      <c r="F14" s="6"/>
      <c r="G14" s="6"/>
      <c r="H14" s="4"/>
      <c r="I14" s="8"/>
    </row>
    <row r="15" spans="4:9" x14ac:dyDescent="0.25">
      <c r="D15" s="8"/>
      <c r="E15" s="9"/>
      <c r="F15" s="9"/>
      <c r="G15" s="9"/>
      <c r="H15" s="9"/>
      <c r="I15" s="8"/>
    </row>
    <row r="16" spans="4:9" x14ac:dyDescent="0.25">
      <c r="E16" s="390" t="s">
        <v>3</v>
      </c>
      <c r="F16" s="10" t="s">
        <v>4</v>
      </c>
      <c r="G16" s="11"/>
      <c r="H16" s="12"/>
      <c r="I16" s="13"/>
    </row>
    <row r="17" spans="4:9" x14ac:dyDescent="0.25">
      <c r="D17" s="14"/>
      <c r="E17" s="391"/>
      <c r="F17" s="15"/>
      <c r="G17" s="15"/>
      <c r="H17" s="16"/>
      <c r="I17" s="13"/>
    </row>
    <row r="18" spans="4:9" x14ac:dyDescent="0.25">
      <c r="E18" s="392" t="s">
        <v>5</v>
      </c>
      <c r="F18" s="17" t="s">
        <v>6</v>
      </c>
      <c r="G18" s="11"/>
      <c r="H18" s="12"/>
      <c r="I18" s="13"/>
    </row>
    <row r="19" spans="4:9" x14ac:dyDescent="0.25">
      <c r="D19" s="14"/>
      <c r="E19" s="391"/>
      <c r="F19" s="15"/>
      <c r="G19" s="15"/>
      <c r="H19" s="16"/>
      <c r="I19" s="13"/>
    </row>
    <row r="20" spans="4:9" x14ac:dyDescent="0.25">
      <c r="E20" s="393" t="s">
        <v>213</v>
      </c>
      <c r="F20" s="18" t="s">
        <v>210</v>
      </c>
      <c r="G20" s="19"/>
      <c r="H20" s="20">
        <v>192574</v>
      </c>
      <c r="I20" s="13"/>
    </row>
    <row r="21" spans="4:9" ht="15.75" customHeight="1" x14ac:dyDescent="0.25">
      <c r="D21" s="212"/>
      <c r="E21" s="21"/>
      <c r="F21" s="22" t="s">
        <v>211</v>
      </c>
      <c r="G21" s="23"/>
      <c r="H21" s="24">
        <v>193125</v>
      </c>
      <c r="I21" s="13"/>
    </row>
    <row r="22" spans="4:9" ht="15.75" customHeight="1" x14ac:dyDescent="0.25">
      <c r="D22" s="212"/>
      <c r="E22" s="25"/>
      <c r="F22" s="26" t="s">
        <v>212</v>
      </c>
      <c r="G22" s="27"/>
      <c r="H22" s="28">
        <v>194651</v>
      </c>
      <c r="I22" s="13"/>
    </row>
    <row r="23" spans="4:9" ht="15.75" customHeight="1" x14ac:dyDescent="0.2">
      <c r="D23" s="212"/>
      <c r="E23" s="212"/>
      <c r="F23" s="212"/>
      <c r="G23" s="212"/>
      <c r="H23" s="212"/>
      <c r="I23" s="212"/>
    </row>
    <row r="24" spans="4:9" ht="15.75" customHeight="1" x14ac:dyDescent="0.2"/>
    <row r="25" spans="4:9" ht="15.75" customHeight="1" x14ac:dyDescent="0.2"/>
    <row r="26" spans="4:9" ht="15.75" customHeight="1" x14ac:dyDescent="0.2"/>
    <row r="27" spans="4:9" ht="15.75" customHeight="1" x14ac:dyDescent="0.2"/>
    <row r="28" spans="4:9" ht="15.75" customHeight="1" x14ac:dyDescent="0.2"/>
    <row r="29" spans="4:9" ht="15.75" customHeight="1" x14ac:dyDescent="0.2"/>
    <row r="30" spans="4:9" ht="15.75" customHeight="1" x14ac:dyDescent="0.2"/>
    <row r="31" spans="4:9" ht="15.75" customHeight="1" x14ac:dyDescent="0.2"/>
    <row r="32" spans="4: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D7:I10"/>
    <mergeCell ref="D3:I5"/>
    <mergeCell ref="D11:I11"/>
    <mergeCell ref="E13:H13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2"/>
  <sheetViews>
    <sheetView zoomScale="85" zoomScaleNormal="85" workbookViewId="0">
      <selection activeCell="F8" sqref="F8"/>
    </sheetView>
  </sheetViews>
  <sheetFormatPr baseColWidth="10" defaultColWidth="12.625" defaultRowHeight="15" customHeight="1" x14ac:dyDescent="0.2"/>
  <cols>
    <col min="1" max="1" width="9.375" customWidth="1"/>
    <col min="2" max="2" width="47.25" customWidth="1"/>
    <col min="3" max="3" width="9" customWidth="1"/>
    <col min="4" max="5" width="14.25" customWidth="1"/>
    <col min="6" max="6" width="14.125" customWidth="1"/>
    <col min="7" max="7" width="9.375" customWidth="1"/>
    <col min="8" max="8" width="12.875" bestFit="1" customWidth="1"/>
  </cols>
  <sheetData>
    <row r="1" spans="1:8" ht="15" customHeight="1" x14ac:dyDescent="0.2">
      <c r="A1" s="196"/>
      <c r="B1" s="29"/>
      <c r="C1" s="29"/>
      <c r="D1" s="29"/>
      <c r="E1" s="29"/>
      <c r="F1" s="29"/>
      <c r="G1" s="29"/>
    </row>
    <row r="2" spans="1:8" x14ac:dyDescent="0.25">
      <c r="A2" s="29"/>
      <c r="B2" s="30"/>
      <c r="C2" s="30"/>
      <c r="D2" s="30"/>
      <c r="E2" s="30"/>
      <c r="F2" s="30"/>
      <c r="G2" s="29"/>
    </row>
    <row r="3" spans="1:8" x14ac:dyDescent="0.25">
      <c r="A3" s="29"/>
      <c r="B3" s="345" t="s">
        <v>7</v>
      </c>
      <c r="C3" s="346"/>
      <c r="D3" s="346"/>
      <c r="E3" s="346"/>
      <c r="F3" s="347"/>
      <c r="G3" s="29"/>
    </row>
    <row r="4" spans="1:8" x14ac:dyDescent="0.25">
      <c r="A4" s="29"/>
      <c r="B4" s="30"/>
      <c r="C4" s="30"/>
      <c r="D4" s="30"/>
      <c r="E4" s="30"/>
      <c r="F4" s="30"/>
      <c r="G4" s="29"/>
    </row>
    <row r="5" spans="1:8" x14ac:dyDescent="0.25">
      <c r="A5" s="31"/>
      <c r="B5" s="32" t="s">
        <v>8</v>
      </c>
      <c r="C5" s="33" t="s">
        <v>9</v>
      </c>
      <c r="D5" s="33" t="s">
        <v>10</v>
      </c>
      <c r="E5" s="33" t="s">
        <v>11</v>
      </c>
      <c r="F5" s="34" t="s">
        <v>12</v>
      </c>
      <c r="G5" s="35"/>
    </row>
    <row r="6" spans="1:8" x14ac:dyDescent="0.25">
      <c r="A6" s="31"/>
      <c r="B6" s="36" t="s">
        <v>13</v>
      </c>
      <c r="C6" s="37" t="s">
        <v>14</v>
      </c>
      <c r="D6" s="37">
        <v>574</v>
      </c>
      <c r="E6" s="202">
        <v>35</v>
      </c>
      <c r="F6" s="197">
        <v>20090</v>
      </c>
      <c r="G6" s="35"/>
    </row>
    <row r="7" spans="1:8" x14ac:dyDescent="0.25">
      <c r="A7" s="31"/>
      <c r="B7" s="38" t="s">
        <v>15</v>
      </c>
      <c r="C7" s="29"/>
      <c r="D7" s="29"/>
      <c r="E7" s="203"/>
      <c r="F7" s="198">
        <f>SUM(F8:F15)</f>
        <v>372250</v>
      </c>
      <c r="G7" s="35"/>
      <c r="H7" s="214"/>
    </row>
    <row r="8" spans="1:8" x14ac:dyDescent="0.25">
      <c r="A8" s="31"/>
      <c r="B8" s="39" t="s">
        <v>16</v>
      </c>
      <c r="C8" s="40" t="s">
        <v>14</v>
      </c>
      <c r="D8" s="40">
        <v>60</v>
      </c>
      <c r="E8" s="204">
        <v>850</v>
      </c>
      <c r="F8" s="199">
        <v>57000</v>
      </c>
      <c r="G8" s="35"/>
    </row>
    <row r="9" spans="1:8" ht="14.25" x14ac:dyDescent="0.2">
      <c r="A9" s="31"/>
      <c r="B9" s="358" t="s">
        <v>17</v>
      </c>
      <c r="C9" s="348" t="s">
        <v>14</v>
      </c>
      <c r="D9" s="350">
        <v>121</v>
      </c>
      <c r="E9" s="351">
        <v>1000</v>
      </c>
      <c r="F9" s="353">
        <v>121000</v>
      </c>
      <c r="G9" s="35"/>
    </row>
    <row r="10" spans="1:8" ht="15" customHeight="1" x14ac:dyDescent="0.2">
      <c r="A10" s="31"/>
      <c r="B10" s="359"/>
      <c r="C10" s="349"/>
      <c r="D10" s="349"/>
      <c r="E10" s="352"/>
      <c r="F10" s="354"/>
      <c r="G10" s="35"/>
    </row>
    <row r="11" spans="1:8" x14ac:dyDescent="0.25">
      <c r="A11" s="31"/>
      <c r="B11" s="39" t="s">
        <v>18</v>
      </c>
      <c r="C11" s="41" t="s">
        <v>14</v>
      </c>
      <c r="D11" s="40">
        <v>144</v>
      </c>
      <c r="E11" s="204">
        <v>950</v>
      </c>
      <c r="F11" s="199">
        <v>136800</v>
      </c>
      <c r="G11" s="35"/>
    </row>
    <row r="12" spans="1:8" x14ac:dyDescent="0.25">
      <c r="A12" s="31"/>
      <c r="B12" s="39" t="s">
        <v>19</v>
      </c>
      <c r="C12" s="40" t="s">
        <v>14</v>
      </c>
      <c r="D12" s="40">
        <v>15</v>
      </c>
      <c r="E12" s="204">
        <v>950</v>
      </c>
      <c r="F12" s="199">
        <v>14250</v>
      </c>
      <c r="G12" s="35"/>
    </row>
    <row r="13" spans="1:8" x14ac:dyDescent="0.25">
      <c r="A13" s="31"/>
      <c r="B13" s="39" t="s">
        <v>20</v>
      </c>
      <c r="C13" s="40" t="s">
        <v>14</v>
      </c>
      <c r="D13" s="40">
        <v>9</v>
      </c>
      <c r="E13" s="204">
        <v>950</v>
      </c>
      <c r="F13" s="199">
        <v>8550</v>
      </c>
      <c r="G13" s="35"/>
    </row>
    <row r="14" spans="1:8" x14ac:dyDescent="0.25">
      <c r="A14" s="31"/>
      <c r="B14" s="39" t="s">
        <v>21</v>
      </c>
      <c r="C14" s="40" t="s">
        <v>14</v>
      </c>
      <c r="D14" s="40">
        <v>27</v>
      </c>
      <c r="E14" s="204">
        <v>450</v>
      </c>
      <c r="F14" s="199">
        <v>12150</v>
      </c>
      <c r="G14" s="35"/>
    </row>
    <row r="15" spans="1:8" x14ac:dyDescent="0.25">
      <c r="A15" s="31"/>
      <c r="B15" s="39" t="s">
        <v>22</v>
      </c>
      <c r="C15" s="40" t="s">
        <v>14</v>
      </c>
      <c r="D15" s="40">
        <v>50</v>
      </c>
      <c r="E15" s="204">
        <v>450</v>
      </c>
      <c r="F15" s="199">
        <v>22500</v>
      </c>
      <c r="G15" s="35"/>
    </row>
    <row r="16" spans="1:8" x14ac:dyDescent="0.25">
      <c r="A16" s="31"/>
      <c r="B16" s="38" t="s">
        <v>23</v>
      </c>
      <c r="C16" s="29"/>
      <c r="D16" s="29"/>
      <c r="E16" s="203"/>
      <c r="F16" s="198">
        <f>SUM(F17:F22)</f>
        <v>56200</v>
      </c>
      <c r="G16" s="35"/>
    </row>
    <row r="17" spans="1:7" x14ac:dyDescent="0.25">
      <c r="A17" s="31"/>
      <c r="B17" s="39" t="s">
        <v>24</v>
      </c>
      <c r="C17" s="40" t="s">
        <v>14</v>
      </c>
      <c r="D17" s="40">
        <v>12</v>
      </c>
      <c r="E17" s="204">
        <v>450</v>
      </c>
      <c r="F17" s="199">
        <v>5400</v>
      </c>
      <c r="G17" s="35"/>
    </row>
    <row r="18" spans="1:7" x14ac:dyDescent="0.25">
      <c r="A18" s="31"/>
      <c r="B18" s="39" t="s">
        <v>25</v>
      </c>
      <c r="C18" s="40" t="s">
        <v>14</v>
      </c>
      <c r="D18" s="40">
        <v>15</v>
      </c>
      <c r="E18" s="204">
        <v>450</v>
      </c>
      <c r="F18" s="199">
        <v>6750</v>
      </c>
      <c r="G18" s="35"/>
    </row>
    <row r="19" spans="1:7" x14ac:dyDescent="0.25">
      <c r="A19" s="31"/>
      <c r="B19" s="39" t="s">
        <v>26</v>
      </c>
      <c r="C19" s="40" t="s">
        <v>14</v>
      </c>
      <c r="D19" s="40">
        <v>9</v>
      </c>
      <c r="E19" s="204">
        <v>450</v>
      </c>
      <c r="F19" s="199">
        <v>4050</v>
      </c>
      <c r="G19" s="35"/>
    </row>
    <row r="20" spans="1:7" x14ac:dyDescent="0.25">
      <c r="A20" s="31"/>
      <c r="B20" s="39" t="s">
        <v>27</v>
      </c>
      <c r="C20" s="40" t="s">
        <v>14</v>
      </c>
      <c r="D20" s="40">
        <v>50</v>
      </c>
      <c r="E20" s="204">
        <v>300</v>
      </c>
      <c r="F20" s="199">
        <v>15000</v>
      </c>
      <c r="G20" s="35"/>
    </row>
    <row r="21" spans="1:7" x14ac:dyDescent="0.25">
      <c r="A21" s="31"/>
      <c r="B21" s="39" t="s">
        <v>28</v>
      </c>
      <c r="C21" s="40" t="s">
        <v>29</v>
      </c>
      <c r="D21" s="40">
        <v>1</v>
      </c>
      <c r="E21" s="204">
        <v>10000</v>
      </c>
      <c r="F21" s="199">
        <v>10000</v>
      </c>
      <c r="G21" s="35"/>
    </row>
    <row r="22" spans="1:7" x14ac:dyDescent="0.25">
      <c r="A22" s="31"/>
      <c r="B22" s="42" t="s">
        <v>30</v>
      </c>
      <c r="C22" s="43" t="s">
        <v>31</v>
      </c>
      <c r="D22" s="43">
        <v>150</v>
      </c>
      <c r="E22" s="205">
        <v>100</v>
      </c>
      <c r="F22" s="200">
        <v>15000</v>
      </c>
      <c r="G22" s="35"/>
    </row>
    <row r="23" spans="1:7" ht="15.75" customHeight="1" x14ac:dyDescent="0.25">
      <c r="A23" s="31"/>
      <c r="B23" s="355" t="s">
        <v>32</v>
      </c>
      <c r="C23" s="356"/>
      <c r="D23" s="356"/>
      <c r="E23" s="357"/>
      <c r="F23" s="201">
        <f>SUM(F6,F7,F16)</f>
        <v>448540</v>
      </c>
      <c r="G23" s="35"/>
    </row>
    <row r="24" spans="1:7" ht="15.75" customHeight="1" x14ac:dyDescent="0.2">
      <c r="A24" s="29"/>
      <c r="B24" s="44"/>
      <c r="C24" s="44"/>
      <c r="D24" s="44"/>
      <c r="E24" s="44"/>
      <c r="F24" s="44"/>
      <c r="G24" s="29"/>
    </row>
    <row r="25" spans="1:7" ht="15.75" customHeight="1" x14ac:dyDescent="0.2">
      <c r="A25" s="29"/>
      <c r="B25" s="29"/>
      <c r="C25" s="29"/>
      <c r="D25" s="29"/>
      <c r="E25" s="29"/>
      <c r="F25" s="29"/>
      <c r="G25" s="29"/>
    </row>
    <row r="26" spans="1:7" ht="15.75" customHeight="1" x14ac:dyDescent="0.2">
      <c r="A26" s="29"/>
      <c r="B26" s="29"/>
      <c r="C26" s="29"/>
      <c r="D26" s="29"/>
      <c r="E26" s="29"/>
      <c r="F26" s="29"/>
      <c r="G26" s="29"/>
    </row>
    <row r="27" spans="1:7" ht="15.75" customHeight="1" x14ac:dyDescent="0.25">
      <c r="A27" s="29"/>
      <c r="B27" s="345" t="s">
        <v>33</v>
      </c>
      <c r="C27" s="346"/>
      <c r="D27" s="346"/>
      <c r="E27" s="347"/>
      <c r="F27" s="29"/>
      <c r="G27" s="29"/>
    </row>
    <row r="28" spans="1:7" ht="15.75" customHeight="1" x14ac:dyDescent="0.25">
      <c r="A28" s="31"/>
      <c r="B28" s="32" t="s">
        <v>34</v>
      </c>
      <c r="C28" s="33" t="s">
        <v>35</v>
      </c>
      <c r="D28" s="33" t="s">
        <v>36</v>
      </c>
      <c r="E28" s="34" t="s">
        <v>37</v>
      </c>
      <c r="F28" s="35"/>
      <c r="G28" s="29"/>
    </row>
    <row r="29" spans="1:7" ht="15.75" customHeight="1" x14ac:dyDescent="0.25">
      <c r="A29" s="31"/>
      <c r="B29" s="36" t="s">
        <v>38</v>
      </c>
      <c r="C29" s="44"/>
      <c r="D29" s="208"/>
      <c r="E29" s="197">
        <f>SUM(E30:E38)</f>
        <v>130092</v>
      </c>
      <c r="F29" s="35"/>
      <c r="G29" s="29"/>
    </row>
    <row r="30" spans="1:7" ht="15.75" customHeight="1" x14ac:dyDescent="0.25">
      <c r="A30" s="31"/>
      <c r="B30" s="39" t="s">
        <v>39</v>
      </c>
      <c r="C30" s="40">
        <v>1</v>
      </c>
      <c r="D30" s="204">
        <v>4000</v>
      </c>
      <c r="E30" s="199">
        <v>4000</v>
      </c>
      <c r="F30" s="35"/>
      <c r="G30" s="29"/>
    </row>
    <row r="31" spans="1:7" ht="15.75" customHeight="1" x14ac:dyDescent="0.25">
      <c r="A31" s="31"/>
      <c r="B31" s="39" t="s">
        <v>40</v>
      </c>
      <c r="C31" s="40">
        <v>12</v>
      </c>
      <c r="D31" s="204">
        <v>1500</v>
      </c>
      <c r="E31" s="199">
        <v>18000</v>
      </c>
      <c r="F31" s="35"/>
      <c r="G31" s="29"/>
    </row>
    <row r="32" spans="1:7" ht="15.75" customHeight="1" x14ac:dyDescent="0.25">
      <c r="A32" s="31"/>
      <c r="B32" s="39" t="s">
        <v>41</v>
      </c>
      <c r="C32" s="40">
        <v>1</v>
      </c>
      <c r="D32" s="204">
        <v>7500</v>
      </c>
      <c r="E32" s="199">
        <v>7500</v>
      </c>
      <c r="F32" s="35"/>
      <c r="G32" s="29"/>
    </row>
    <row r="33" spans="1:7" ht="15.75" customHeight="1" x14ac:dyDescent="0.2">
      <c r="A33" s="31"/>
      <c r="B33" s="358" t="s">
        <v>42</v>
      </c>
      <c r="C33" s="360">
        <v>1</v>
      </c>
      <c r="D33" s="351">
        <v>25000</v>
      </c>
      <c r="E33" s="353">
        <v>25000</v>
      </c>
      <c r="F33" s="35"/>
      <c r="G33" s="29"/>
    </row>
    <row r="34" spans="1:7" ht="15.75" customHeight="1" x14ac:dyDescent="0.2">
      <c r="A34" s="31"/>
      <c r="B34" s="359"/>
      <c r="C34" s="349"/>
      <c r="D34" s="352"/>
      <c r="E34" s="354"/>
      <c r="F34" s="35"/>
      <c r="G34" s="29"/>
    </row>
    <row r="35" spans="1:7" ht="15.75" customHeight="1" x14ac:dyDescent="0.2">
      <c r="A35" s="31"/>
      <c r="B35" s="361" t="s">
        <v>43</v>
      </c>
      <c r="C35" s="360">
        <v>1</v>
      </c>
      <c r="D35" s="351">
        <v>45392</v>
      </c>
      <c r="E35" s="353">
        <v>45392</v>
      </c>
      <c r="F35" s="35"/>
      <c r="G35" s="29"/>
    </row>
    <row r="36" spans="1:7" ht="15.75" customHeight="1" x14ac:dyDescent="0.2">
      <c r="A36" s="31"/>
      <c r="B36" s="359"/>
      <c r="C36" s="349"/>
      <c r="D36" s="352"/>
      <c r="E36" s="354"/>
      <c r="F36" s="35"/>
      <c r="G36" s="29"/>
    </row>
    <row r="37" spans="1:7" ht="15.75" customHeight="1" x14ac:dyDescent="0.25">
      <c r="A37" s="31"/>
      <c r="B37" s="39" t="s">
        <v>44</v>
      </c>
      <c r="C37" s="45">
        <v>1</v>
      </c>
      <c r="D37" s="209">
        <v>15200</v>
      </c>
      <c r="E37" s="206">
        <v>15200</v>
      </c>
      <c r="F37" s="35"/>
      <c r="G37" s="29"/>
    </row>
    <row r="38" spans="1:7" ht="15.75" customHeight="1" x14ac:dyDescent="0.25">
      <c r="A38" s="31"/>
      <c r="B38" s="39" t="s">
        <v>45</v>
      </c>
      <c r="C38" s="40">
        <v>1</v>
      </c>
      <c r="D38" s="204">
        <v>15000</v>
      </c>
      <c r="E38" s="199">
        <v>15000</v>
      </c>
      <c r="F38" s="35"/>
      <c r="G38" s="29"/>
    </row>
    <row r="39" spans="1:7" ht="15.75" customHeight="1" x14ac:dyDescent="0.25">
      <c r="A39" s="31"/>
      <c r="B39" s="38" t="s">
        <v>46</v>
      </c>
      <c r="C39" s="29"/>
      <c r="D39" s="203"/>
      <c r="E39" s="198">
        <f>SUM(E40:E45)</f>
        <v>33600</v>
      </c>
      <c r="F39" s="35"/>
      <c r="G39" s="29"/>
    </row>
    <row r="40" spans="1:7" ht="15.75" customHeight="1" x14ac:dyDescent="0.25">
      <c r="A40" s="31"/>
      <c r="B40" s="39" t="s">
        <v>47</v>
      </c>
      <c r="C40" s="40">
        <v>1</v>
      </c>
      <c r="D40" s="204">
        <v>3000</v>
      </c>
      <c r="E40" s="199">
        <v>3000</v>
      </c>
      <c r="F40" s="35"/>
      <c r="G40" s="29"/>
    </row>
    <row r="41" spans="1:7" ht="15.75" customHeight="1" x14ac:dyDescent="0.25">
      <c r="A41" s="31"/>
      <c r="B41" s="39" t="s">
        <v>48</v>
      </c>
      <c r="C41" s="40">
        <v>1</v>
      </c>
      <c r="D41" s="204">
        <v>8200</v>
      </c>
      <c r="E41" s="199">
        <v>8200</v>
      </c>
      <c r="F41" s="35"/>
      <c r="G41" s="29"/>
    </row>
    <row r="42" spans="1:7" ht="15.75" customHeight="1" x14ac:dyDescent="0.25">
      <c r="A42" s="31"/>
      <c r="B42" s="39" t="s">
        <v>49</v>
      </c>
      <c r="C42" s="40">
        <v>1</v>
      </c>
      <c r="D42" s="204">
        <v>3500</v>
      </c>
      <c r="E42" s="199">
        <v>3500</v>
      </c>
      <c r="F42" s="35"/>
      <c r="G42" s="29"/>
    </row>
    <row r="43" spans="1:7" ht="15.75" customHeight="1" x14ac:dyDescent="0.25">
      <c r="A43" s="31"/>
      <c r="B43" s="39" t="s">
        <v>50</v>
      </c>
      <c r="C43" s="40">
        <v>2</v>
      </c>
      <c r="D43" s="204">
        <v>1200</v>
      </c>
      <c r="E43" s="199">
        <v>2400</v>
      </c>
      <c r="F43" s="35"/>
      <c r="G43" s="29"/>
    </row>
    <row r="44" spans="1:7" ht="15.75" customHeight="1" x14ac:dyDescent="0.25">
      <c r="A44" s="31"/>
      <c r="B44" s="39" t="s">
        <v>51</v>
      </c>
      <c r="C44" s="40">
        <v>1</v>
      </c>
      <c r="D44" s="204">
        <v>6500</v>
      </c>
      <c r="E44" s="199">
        <v>6500</v>
      </c>
      <c r="F44" s="35"/>
      <c r="G44" s="29"/>
    </row>
    <row r="45" spans="1:7" ht="15.75" customHeight="1" x14ac:dyDescent="0.25">
      <c r="A45" s="31"/>
      <c r="B45" s="39" t="s">
        <v>52</v>
      </c>
      <c r="C45" s="40">
        <v>1</v>
      </c>
      <c r="D45" s="204">
        <v>10000</v>
      </c>
      <c r="E45" s="199">
        <v>10000</v>
      </c>
      <c r="F45" s="35"/>
      <c r="G45" s="29"/>
    </row>
    <row r="46" spans="1:7" ht="15.75" customHeight="1" x14ac:dyDescent="0.25">
      <c r="A46" s="31"/>
      <c r="B46" s="38" t="s">
        <v>53</v>
      </c>
      <c r="C46" s="29"/>
      <c r="D46" s="203"/>
      <c r="E46" s="198">
        <f>SUM(E47:E48)</f>
        <v>6500</v>
      </c>
      <c r="F46" s="35"/>
      <c r="G46" s="29"/>
    </row>
    <row r="47" spans="1:7" ht="15.75" customHeight="1" x14ac:dyDescent="0.25">
      <c r="A47" s="31"/>
      <c r="B47" s="39" t="s">
        <v>54</v>
      </c>
      <c r="C47" s="40">
        <v>3</v>
      </c>
      <c r="D47" s="204">
        <v>2000</v>
      </c>
      <c r="E47" s="199">
        <v>6000</v>
      </c>
      <c r="F47" s="35"/>
      <c r="G47" s="29"/>
    </row>
    <row r="48" spans="1:7" ht="15.75" customHeight="1" x14ac:dyDescent="0.25">
      <c r="A48" s="31"/>
      <c r="B48" s="42" t="s">
        <v>55</v>
      </c>
      <c r="C48" s="43">
        <v>1</v>
      </c>
      <c r="D48" s="205">
        <v>500</v>
      </c>
      <c r="E48" s="200">
        <v>500</v>
      </c>
      <c r="F48" s="35"/>
      <c r="G48" s="29"/>
    </row>
    <row r="49" spans="1:7" ht="15.75" customHeight="1" x14ac:dyDescent="0.25">
      <c r="A49" s="31"/>
      <c r="B49" s="355" t="s">
        <v>56</v>
      </c>
      <c r="C49" s="356"/>
      <c r="D49" s="357"/>
      <c r="E49" s="207">
        <f>SUM(E46,E39,E29)</f>
        <v>170192</v>
      </c>
      <c r="F49" s="35"/>
      <c r="G49" s="29"/>
    </row>
    <row r="50" spans="1:7" ht="15.75" customHeight="1" x14ac:dyDescent="0.2">
      <c r="A50" s="29"/>
      <c r="B50" s="44"/>
      <c r="C50" s="44"/>
      <c r="D50" s="44"/>
      <c r="E50" s="44"/>
      <c r="F50" s="29"/>
      <c r="G50" s="29"/>
    </row>
    <row r="51" spans="1:7" ht="15.75" customHeight="1" x14ac:dyDescent="0.2">
      <c r="A51" s="29"/>
      <c r="B51" s="29"/>
      <c r="C51" s="29"/>
      <c r="D51" s="29"/>
      <c r="E51" s="29"/>
      <c r="F51" s="29"/>
      <c r="G51" s="29"/>
    </row>
    <row r="52" spans="1:7" ht="15.75" customHeight="1" x14ac:dyDescent="0.25">
      <c r="A52" s="29"/>
      <c r="B52" s="345" t="s">
        <v>57</v>
      </c>
      <c r="C52" s="346"/>
      <c r="D52" s="346"/>
      <c r="E52" s="347"/>
      <c r="F52" s="29"/>
      <c r="G52" s="29"/>
    </row>
    <row r="53" spans="1:7" ht="15.75" customHeight="1" x14ac:dyDescent="0.25">
      <c r="A53" s="31"/>
      <c r="B53" s="46" t="s">
        <v>34</v>
      </c>
      <c r="C53" s="47" t="s">
        <v>35</v>
      </c>
      <c r="D53" s="47" t="s">
        <v>36</v>
      </c>
      <c r="E53" s="48" t="s">
        <v>37</v>
      </c>
      <c r="F53" s="35"/>
      <c r="G53" s="29"/>
    </row>
    <row r="54" spans="1:7" ht="15.75" customHeight="1" x14ac:dyDescent="0.25">
      <c r="A54" s="31"/>
      <c r="B54" s="49" t="s">
        <v>58</v>
      </c>
      <c r="C54" s="50">
        <v>1</v>
      </c>
      <c r="D54" s="210">
        <v>50000</v>
      </c>
      <c r="E54" s="211">
        <v>50000</v>
      </c>
      <c r="F54" s="35"/>
      <c r="G54" s="29"/>
    </row>
    <row r="55" spans="1:7" ht="15.75" customHeight="1" x14ac:dyDescent="0.25">
      <c r="A55" s="31"/>
      <c r="B55" s="42" t="s">
        <v>59</v>
      </c>
      <c r="C55" s="43">
        <v>1</v>
      </c>
      <c r="D55" s="205">
        <v>120000</v>
      </c>
      <c r="E55" s="200">
        <v>120000</v>
      </c>
      <c r="F55" s="35"/>
      <c r="G55" s="29"/>
    </row>
    <row r="56" spans="1:7" ht="15.75" customHeight="1" x14ac:dyDescent="0.25">
      <c r="A56" s="31"/>
      <c r="B56" s="355" t="s">
        <v>60</v>
      </c>
      <c r="C56" s="356"/>
      <c r="D56" s="357"/>
      <c r="E56" s="201">
        <f>SUM(E54:E55)</f>
        <v>170000</v>
      </c>
      <c r="F56" s="35"/>
      <c r="G56" s="29"/>
    </row>
    <row r="57" spans="1:7" ht="15.75" customHeight="1" x14ac:dyDescent="0.2">
      <c r="A57" s="29"/>
      <c r="B57" s="44"/>
      <c r="C57" s="44"/>
      <c r="D57" s="44"/>
      <c r="E57" s="44"/>
      <c r="F57" s="29"/>
      <c r="G57" s="29"/>
    </row>
    <row r="58" spans="1:7" ht="15.75" customHeight="1" x14ac:dyDescent="0.2">
      <c r="A58" s="29"/>
      <c r="B58" s="29"/>
      <c r="C58" s="29"/>
      <c r="D58" s="29"/>
      <c r="E58" s="29"/>
      <c r="F58" s="29"/>
      <c r="G58" s="29"/>
    </row>
    <row r="59" spans="1:7" ht="15.75" customHeight="1" x14ac:dyDescent="0.2">
      <c r="A59" s="29"/>
      <c r="B59" s="29"/>
      <c r="C59" s="29"/>
      <c r="D59" s="29"/>
      <c r="E59" s="29"/>
      <c r="F59" s="29"/>
      <c r="G59" s="29"/>
    </row>
    <row r="60" spans="1:7" ht="15.75" customHeight="1" x14ac:dyDescent="0.25">
      <c r="A60" s="29"/>
      <c r="B60" s="345" t="s">
        <v>61</v>
      </c>
      <c r="C60" s="346"/>
      <c r="D60" s="346"/>
      <c r="E60" s="347"/>
      <c r="F60" s="29"/>
      <c r="G60" s="29"/>
    </row>
    <row r="61" spans="1:7" ht="15.75" customHeight="1" x14ac:dyDescent="0.25">
      <c r="A61" s="31"/>
      <c r="B61" s="32" t="s">
        <v>34</v>
      </c>
      <c r="C61" s="47" t="s">
        <v>35</v>
      </c>
      <c r="D61" s="47" t="s">
        <v>36</v>
      </c>
      <c r="E61" s="48" t="s">
        <v>37</v>
      </c>
      <c r="F61" s="35"/>
      <c r="G61" s="29"/>
    </row>
    <row r="62" spans="1:7" ht="15.75" customHeight="1" x14ac:dyDescent="0.25">
      <c r="A62" s="31"/>
      <c r="B62" s="49" t="s">
        <v>62</v>
      </c>
      <c r="C62" s="50">
        <v>2</v>
      </c>
      <c r="D62" s="210">
        <v>1000</v>
      </c>
      <c r="E62" s="211">
        <v>2000</v>
      </c>
      <c r="F62" s="35"/>
      <c r="G62" s="29"/>
    </row>
    <row r="63" spans="1:7" ht="15.75" customHeight="1" x14ac:dyDescent="0.25">
      <c r="A63" s="31"/>
      <c r="B63" s="39" t="s">
        <v>63</v>
      </c>
      <c r="C63" s="40">
        <v>4</v>
      </c>
      <c r="D63" s="204">
        <v>400</v>
      </c>
      <c r="E63" s="199">
        <v>1600</v>
      </c>
      <c r="F63" s="35"/>
      <c r="G63" s="29"/>
    </row>
    <row r="64" spans="1:7" ht="15.75" customHeight="1" x14ac:dyDescent="0.25">
      <c r="A64" s="31"/>
      <c r="B64" s="39" t="s">
        <v>64</v>
      </c>
      <c r="C64" s="40">
        <v>2</v>
      </c>
      <c r="D64" s="204">
        <v>250</v>
      </c>
      <c r="E64" s="199">
        <v>500</v>
      </c>
      <c r="F64" s="35"/>
      <c r="G64" s="29"/>
    </row>
    <row r="65" spans="1:7" ht="15.75" customHeight="1" x14ac:dyDescent="0.25">
      <c r="A65" s="31"/>
      <c r="B65" s="39" t="s">
        <v>65</v>
      </c>
      <c r="C65" s="40">
        <v>4</v>
      </c>
      <c r="D65" s="204">
        <v>120</v>
      </c>
      <c r="E65" s="199">
        <v>480</v>
      </c>
      <c r="F65" s="35"/>
      <c r="G65" s="29"/>
    </row>
    <row r="66" spans="1:7" ht="15.75" customHeight="1" x14ac:dyDescent="0.25">
      <c r="A66" s="31"/>
      <c r="B66" s="39" t="s">
        <v>66</v>
      </c>
      <c r="C66" s="40">
        <v>10</v>
      </c>
      <c r="D66" s="204">
        <v>50</v>
      </c>
      <c r="E66" s="199">
        <v>500</v>
      </c>
      <c r="F66" s="35"/>
      <c r="G66" s="29"/>
    </row>
    <row r="67" spans="1:7" ht="15.75" customHeight="1" x14ac:dyDescent="0.25">
      <c r="A67" s="31"/>
      <c r="B67" s="42" t="s">
        <v>67</v>
      </c>
      <c r="C67" s="43">
        <v>2</v>
      </c>
      <c r="D67" s="205">
        <v>250</v>
      </c>
      <c r="E67" s="200">
        <v>500</v>
      </c>
      <c r="F67" s="35"/>
      <c r="G67" s="29"/>
    </row>
    <row r="68" spans="1:7" ht="15.75" customHeight="1" x14ac:dyDescent="0.25">
      <c r="A68" s="31"/>
      <c r="B68" s="355" t="s">
        <v>68</v>
      </c>
      <c r="C68" s="356"/>
      <c r="D68" s="357"/>
      <c r="E68" s="201">
        <f>SUM(E62:E67)</f>
        <v>5580</v>
      </c>
      <c r="F68" s="35"/>
      <c r="G68" s="29"/>
    </row>
    <row r="69" spans="1:7" ht="15.75" customHeight="1" x14ac:dyDescent="0.2">
      <c r="B69" s="44"/>
      <c r="C69" s="44"/>
      <c r="D69" s="44"/>
      <c r="E69" s="44"/>
      <c r="F69" s="29"/>
      <c r="G69" s="29"/>
    </row>
    <row r="70" spans="1:7" ht="15.75" customHeight="1" x14ac:dyDescent="0.2">
      <c r="G70" s="29"/>
    </row>
    <row r="71" spans="1:7" ht="15.75" customHeight="1" x14ac:dyDescent="0.2"/>
    <row r="72" spans="1:7" ht="15.75" customHeight="1" x14ac:dyDescent="0.2"/>
    <row r="73" spans="1:7" ht="15.75" customHeight="1" x14ac:dyDescent="0.2"/>
    <row r="74" spans="1:7" ht="15.75" customHeight="1" x14ac:dyDescent="0.2"/>
    <row r="75" spans="1:7" ht="15.75" customHeight="1" x14ac:dyDescent="0.2"/>
    <row r="76" spans="1:7" ht="15.75" customHeight="1" x14ac:dyDescent="0.2"/>
    <row r="77" spans="1:7" ht="15.75" customHeight="1" x14ac:dyDescent="0.2"/>
    <row r="78" spans="1:7" ht="15.75" customHeight="1" x14ac:dyDescent="0.2"/>
    <row r="79" spans="1:7" ht="15.75" customHeight="1" x14ac:dyDescent="0.2"/>
    <row r="80" spans="1:7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mergeCells count="21">
    <mergeCell ref="B52:E52"/>
    <mergeCell ref="B56:D56"/>
    <mergeCell ref="B60:E60"/>
    <mergeCell ref="B68:D68"/>
    <mergeCell ref="B9:B10"/>
    <mergeCell ref="B33:B34"/>
    <mergeCell ref="C33:C34"/>
    <mergeCell ref="D33:D34"/>
    <mergeCell ref="E33:E34"/>
    <mergeCell ref="B35:B36"/>
    <mergeCell ref="C35:C36"/>
    <mergeCell ref="B23:E23"/>
    <mergeCell ref="B27:E27"/>
    <mergeCell ref="D35:D36"/>
    <mergeCell ref="E35:E36"/>
    <mergeCell ref="B49:D49"/>
    <mergeCell ref="B3:F3"/>
    <mergeCell ref="C9:C10"/>
    <mergeCell ref="D9:D10"/>
    <mergeCell ref="E9:E10"/>
    <mergeCell ref="F9:F1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25" zoomScale="130" zoomScaleNormal="130" workbookViewId="0">
      <selection activeCell="C3" sqref="C3"/>
    </sheetView>
  </sheetViews>
  <sheetFormatPr baseColWidth="10" defaultColWidth="12.625" defaultRowHeight="15" customHeight="1" x14ac:dyDescent="0.2"/>
  <cols>
    <col min="1" max="1" width="47.875" customWidth="1"/>
    <col min="2" max="2" width="13.25" customWidth="1"/>
    <col min="3" max="3" width="15.75" customWidth="1"/>
    <col min="4" max="4" width="13" customWidth="1"/>
    <col min="5" max="6" width="13.125" customWidth="1"/>
    <col min="7" max="7" width="12.25" bestFit="1" customWidth="1"/>
    <col min="8" max="9" width="9.375" customWidth="1"/>
    <col min="10" max="10" width="11.5" customWidth="1"/>
    <col min="11" max="26" width="9.375" customWidth="1"/>
  </cols>
  <sheetData>
    <row r="1" spans="1:26" x14ac:dyDescent="0.25">
      <c r="A1" s="51"/>
      <c r="B1" s="40"/>
      <c r="C1" s="40"/>
      <c r="D1" s="40"/>
      <c r="E1" s="40"/>
      <c r="F1" s="40"/>
      <c r="G1" s="40"/>
      <c r="H1" s="40"/>
      <c r="I1" s="40"/>
      <c r="J1" s="29"/>
    </row>
    <row r="2" spans="1:26" ht="26.25" x14ac:dyDescent="0.25">
      <c r="A2" s="248" t="s">
        <v>204</v>
      </c>
      <c r="B2" s="40"/>
      <c r="C2" s="40"/>
      <c r="D2" s="40"/>
      <c r="E2" s="40"/>
      <c r="F2" s="40"/>
      <c r="G2" s="40"/>
      <c r="H2" s="40"/>
      <c r="I2" s="40"/>
      <c r="J2" s="29"/>
    </row>
    <row r="3" spans="1:26" x14ac:dyDescent="0.25">
      <c r="A3" s="249" t="s">
        <v>69</v>
      </c>
      <c r="B3" s="40"/>
      <c r="C3" s="40"/>
      <c r="D3" s="40"/>
      <c r="E3" s="40"/>
      <c r="F3" s="40"/>
      <c r="G3" s="40"/>
      <c r="H3" s="40"/>
      <c r="I3" s="40"/>
      <c r="J3" s="29"/>
    </row>
    <row r="4" spans="1:26" x14ac:dyDescent="0.25">
      <c r="A4" s="250" t="s">
        <v>222</v>
      </c>
      <c r="B4" s="40"/>
      <c r="C4" s="40"/>
      <c r="D4" s="40"/>
      <c r="E4" s="40"/>
      <c r="F4" s="40"/>
      <c r="G4" s="40"/>
      <c r="H4" s="40"/>
      <c r="I4" s="40"/>
      <c r="J4" s="29"/>
    </row>
    <row r="5" spans="1:26" x14ac:dyDescent="0.25">
      <c r="A5" s="40"/>
      <c r="B5" s="40"/>
      <c r="C5" s="40"/>
      <c r="D5" s="40"/>
      <c r="E5" s="40"/>
      <c r="F5" s="40"/>
      <c r="G5" s="40"/>
      <c r="H5" s="40"/>
      <c r="I5" s="40"/>
      <c r="J5" s="29"/>
    </row>
    <row r="6" spans="1:26" x14ac:dyDescent="0.25">
      <c r="A6" s="52"/>
      <c r="B6" s="53" t="s">
        <v>70</v>
      </c>
      <c r="C6" s="54" t="s">
        <v>71</v>
      </c>
      <c r="D6" s="54" t="s">
        <v>72</v>
      </c>
      <c r="E6" s="54" t="s">
        <v>73</v>
      </c>
      <c r="F6" s="54" t="s">
        <v>74</v>
      </c>
      <c r="G6" s="53" t="s">
        <v>75</v>
      </c>
      <c r="H6" s="29"/>
      <c r="I6" s="29"/>
      <c r="J6" s="29"/>
    </row>
    <row r="7" spans="1:26" ht="14.25" x14ac:dyDescent="0.2">
      <c r="A7" s="55" t="s">
        <v>76</v>
      </c>
      <c r="B7" s="56"/>
      <c r="C7" s="57">
        <v>4886610</v>
      </c>
      <c r="D7" s="58">
        <v>5233559.3099999996</v>
      </c>
      <c r="E7" s="58">
        <v>5605142.0199999996</v>
      </c>
      <c r="F7" s="59">
        <v>6003107.0999999996</v>
      </c>
      <c r="G7" s="58">
        <v>7545300.3499999996</v>
      </c>
      <c r="H7" s="29"/>
      <c r="I7" s="29"/>
      <c r="J7" s="29"/>
    </row>
    <row r="8" spans="1:26" x14ac:dyDescent="0.25">
      <c r="A8" s="39" t="s">
        <v>77</v>
      </c>
      <c r="B8" s="60"/>
      <c r="C8" s="60">
        <v>4886610</v>
      </c>
      <c r="D8" s="60">
        <v>5233559.3099999996</v>
      </c>
      <c r="E8" s="60">
        <v>5605142.0199999996</v>
      </c>
      <c r="F8" s="61">
        <v>6003107.0999999996</v>
      </c>
      <c r="G8" s="60">
        <v>6429327.71</v>
      </c>
      <c r="H8" s="29"/>
      <c r="I8" s="29"/>
      <c r="J8" s="40"/>
      <c r="K8" s="62"/>
    </row>
    <row r="9" spans="1:26" ht="14.25" x14ac:dyDescent="0.2">
      <c r="A9" s="63" t="s">
        <v>78</v>
      </c>
      <c r="B9" s="63"/>
      <c r="C9" s="63"/>
      <c r="D9" s="63"/>
      <c r="E9" s="63"/>
      <c r="F9" s="64"/>
      <c r="G9" s="65">
        <v>557025.14</v>
      </c>
      <c r="H9" s="29"/>
      <c r="I9" s="29"/>
      <c r="J9" s="29"/>
    </row>
    <row r="10" spans="1:26" ht="14.25" x14ac:dyDescent="0.2">
      <c r="A10" s="63" t="s">
        <v>79</v>
      </c>
      <c r="B10" s="63"/>
      <c r="C10" s="63"/>
      <c r="D10" s="63"/>
      <c r="E10" s="63"/>
      <c r="F10" s="64"/>
      <c r="G10" s="65">
        <v>558947.51</v>
      </c>
      <c r="H10" s="29"/>
      <c r="I10" s="29"/>
      <c r="J10" s="29"/>
    </row>
    <row r="11" spans="1:26" ht="14.25" x14ac:dyDescent="0.2">
      <c r="A11" s="63"/>
      <c r="B11" s="63"/>
      <c r="C11" s="63"/>
      <c r="D11" s="63"/>
      <c r="E11" s="63"/>
      <c r="F11" s="64"/>
      <c r="G11" s="66"/>
      <c r="H11" s="29"/>
      <c r="I11" s="29"/>
      <c r="J11" s="29"/>
    </row>
    <row r="12" spans="1:26" ht="14.25" x14ac:dyDescent="0.2">
      <c r="A12" s="222" t="s">
        <v>80</v>
      </c>
      <c r="B12" s="223">
        <f>B13</f>
        <v>-1409422.7500000002</v>
      </c>
      <c r="C12" s="224">
        <f t="shared" ref="C12:G12" si="0">-(C21+C27+C30+C33)</f>
        <v>3973358.7083000001</v>
      </c>
      <c r="D12" s="225">
        <f t="shared" si="0"/>
        <v>4273873.261775</v>
      </c>
      <c r="E12" s="225">
        <f t="shared" si="0"/>
        <v>4598773.7709737504</v>
      </c>
      <c r="F12" s="225">
        <f t="shared" si="0"/>
        <v>4950057.1209824365</v>
      </c>
      <c r="G12" s="225">
        <f t="shared" si="0"/>
        <v>5496992.5746915592</v>
      </c>
      <c r="H12" s="29"/>
      <c r="I12" s="29"/>
      <c r="J12" s="29"/>
    </row>
    <row r="13" spans="1:26" ht="14.25" x14ac:dyDescent="0.2">
      <c r="A13" s="67" t="s">
        <v>81</v>
      </c>
      <c r="B13" s="68">
        <f>(+B14+B21+B26+B25)</f>
        <v>-1409422.7500000002</v>
      </c>
      <c r="C13" s="60"/>
      <c r="D13" s="60"/>
      <c r="E13" s="60"/>
      <c r="F13" s="60"/>
      <c r="G13" s="60"/>
      <c r="H13" s="29"/>
      <c r="I13" s="29"/>
      <c r="J13" s="29"/>
    </row>
    <row r="14" spans="1:26" x14ac:dyDescent="0.25">
      <c r="A14" s="69" t="s">
        <v>82</v>
      </c>
      <c r="B14" s="70">
        <f>(+B15+B20)</f>
        <v>-890462</v>
      </c>
      <c r="C14" s="60"/>
      <c r="D14" s="60"/>
      <c r="E14" s="60"/>
      <c r="F14" s="60"/>
      <c r="G14" s="60"/>
      <c r="H14" s="29"/>
      <c r="I14" s="29"/>
      <c r="J14" s="29"/>
    </row>
    <row r="15" spans="1:26" x14ac:dyDescent="0.25">
      <c r="A15" s="69" t="s">
        <v>83</v>
      </c>
      <c r="B15" s="70">
        <f>(+B16+B17+B18+B19)</f>
        <v>-794312</v>
      </c>
      <c r="C15" s="71"/>
      <c r="D15" s="71"/>
      <c r="E15" s="71"/>
      <c r="F15" s="71"/>
      <c r="G15" s="71"/>
      <c r="H15" s="29"/>
      <c r="I15" s="29"/>
      <c r="J15" s="41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</row>
    <row r="16" spans="1:26" ht="14.25" x14ac:dyDescent="0.2">
      <c r="A16" s="73" t="s">
        <v>84</v>
      </c>
      <c r="B16" s="61">
        <v>-448540</v>
      </c>
      <c r="C16" s="60"/>
      <c r="D16" s="60"/>
      <c r="E16" s="60"/>
      <c r="F16" s="60"/>
      <c r="G16" s="60"/>
      <c r="H16" s="29"/>
      <c r="I16" s="29"/>
      <c r="J16" s="29"/>
    </row>
    <row r="17" spans="1:26" ht="14.25" x14ac:dyDescent="0.2">
      <c r="A17" s="73" t="s">
        <v>85</v>
      </c>
      <c r="B17" s="61">
        <v>-170192</v>
      </c>
      <c r="C17" s="60"/>
      <c r="D17" s="60"/>
      <c r="E17" s="60"/>
      <c r="F17" s="60"/>
      <c r="G17" s="60"/>
      <c r="H17" s="29"/>
      <c r="I17" s="29"/>
      <c r="J17" s="29"/>
    </row>
    <row r="18" spans="1:26" ht="14.25" x14ac:dyDescent="0.2">
      <c r="A18" s="73" t="s">
        <v>86</v>
      </c>
      <c r="B18" s="61">
        <v>-170000</v>
      </c>
      <c r="C18" s="60"/>
      <c r="D18" s="60"/>
      <c r="E18" s="60"/>
      <c r="F18" s="60"/>
      <c r="G18" s="60"/>
      <c r="H18" s="29"/>
      <c r="I18" s="29"/>
      <c r="J18" s="29"/>
    </row>
    <row r="19" spans="1:26" ht="14.25" x14ac:dyDescent="0.2">
      <c r="A19" s="73" t="s">
        <v>87</v>
      </c>
      <c r="B19" s="61">
        <v>-5580</v>
      </c>
      <c r="C19" s="60"/>
      <c r="D19" s="60"/>
      <c r="E19" s="60"/>
      <c r="F19" s="60"/>
      <c r="G19" s="60"/>
      <c r="H19" s="29"/>
      <c r="I19" s="29"/>
      <c r="J19" s="29"/>
    </row>
    <row r="20" spans="1:26" x14ac:dyDescent="0.25">
      <c r="A20" s="69" t="s">
        <v>88</v>
      </c>
      <c r="B20" s="70">
        <v>-96150</v>
      </c>
      <c r="C20" s="60"/>
      <c r="D20" s="60"/>
      <c r="E20" s="60"/>
      <c r="F20" s="60"/>
      <c r="G20" s="60"/>
      <c r="H20" s="29"/>
      <c r="I20" s="29"/>
      <c r="J20" s="29"/>
    </row>
    <row r="21" spans="1:26" ht="15.75" customHeight="1" x14ac:dyDescent="0.25">
      <c r="A21" s="69" t="s">
        <v>89</v>
      </c>
      <c r="B21" s="68">
        <f>+B22+B23+B24</f>
        <v>-447723.79</v>
      </c>
      <c r="C21" s="71">
        <f t="shared" ref="C21:G21" si="1">+C22</f>
        <v>-20128.6895</v>
      </c>
      <c r="D21" s="71">
        <f t="shared" si="1"/>
        <v>-21135.123974999999</v>
      </c>
      <c r="E21" s="71">
        <f t="shared" si="1"/>
        <v>-22191.88017375</v>
      </c>
      <c r="F21" s="71">
        <f t="shared" si="1"/>
        <v>-23301.474182437498</v>
      </c>
      <c r="G21" s="71">
        <f t="shared" si="1"/>
        <v>-24466.547891559374</v>
      </c>
      <c r="H21" s="29"/>
      <c r="I21" s="29"/>
      <c r="J21" s="41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</row>
    <row r="22" spans="1:26" ht="15.75" customHeight="1" x14ac:dyDescent="0.2">
      <c r="A22" s="73" t="s">
        <v>90</v>
      </c>
      <c r="B22" s="74">
        <v>-402573.79</v>
      </c>
      <c r="C22" s="75">
        <f>+B22*5%</f>
        <v>-20128.6895</v>
      </c>
      <c r="D22" s="75">
        <f>(B22+C22)*5%</f>
        <v>-21135.123974999999</v>
      </c>
      <c r="E22" s="75">
        <f>SUM(B22:D22)*5%</f>
        <v>-22191.88017375</v>
      </c>
      <c r="F22" s="75">
        <f>SUM(B22:E22)*5%</f>
        <v>-23301.474182437498</v>
      </c>
      <c r="G22" s="75">
        <f>SUM(B22:F22)*5%</f>
        <v>-24466.547891559374</v>
      </c>
      <c r="H22" s="29"/>
      <c r="I22" s="29"/>
      <c r="J22" s="29"/>
    </row>
    <row r="23" spans="1:26" ht="15.75" customHeight="1" x14ac:dyDescent="0.2">
      <c r="A23" s="73" t="s">
        <v>91</v>
      </c>
      <c r="B23" s="61">
        <v>-37725</v>
      </c>
      <c r="C23" s="60"/>
      <c r="D23" s="60"/>
      <c r="E23" s="60"/>
      <c r="F23" s="60"/>
      <c r="G23" s="60"/>
      <c r="H23" s="29"/>
      <c r="I23" s="29"/>
      <c r="J23" s="29"/>
    </row>
    <row r="24" spans="1:26" ht="15.75" customHeight="1" x14ac:dyDescent="0.2">
      <c r="A24" s="73" t="s">
        <v>92</v>
      </c>
      <c r="B24" s="61">
        <v>-7425</v>
      </c>
      <c r="C24" s="60"/>
      <c r="D24" s="60"/>
      <c r="E24" s="60"/>
      <c r="F24" s="60"/>
      <c r="G24" s="60"/>
      <c r="H24" s="29"/>
      <c r="I24" s="29"/>
      <c r="J24" s="29"/>
    </row>
    <row r="25" spans="1:26" ht="15.75" customHeight="1" x14ac:dyDescent="0.25">
      <c r="A25" s="69" t="s">
        <v>93</v>
      </c>
      <c r="B25" s="70">
        <f>+B14*5%</f>
        <v>-44523.100000000006</v>
      </c>
      <c r="C25" s="60"/>
      <c r="D25" s="60"/>
      <c r="E25" s="60"/>
      <c r="F25" s="60"/>
      <c r="G25" s="60"/>
      <c r="H25" s="29"/>
      <c r="I25" s="29"/>
      <c r="J25" s="29"/>
    </row>
    <row r="26" spans="1:26" ht="15.75" customHeight="1" x14ac:dyDescent="0.25">
      <c r="A26" s="69" t="s">
        <v>94</v>
      </c>
      <c r="B26" s="70">
        <f>+B14*3%</f>
        <v>-26713.86</v>
      </c>
      <c r="C26" s="60"/>
      <c r="D26" s="60"/>
      <c r="E26" s="60"/>
      <c r="F26" s="60"/>
      <c r="G26" s="60"/>
      <c r="H26" s="29"/>
      <c r="I26" s="29"/>
      <c r="J26" s="29"/>
    </row>
    <row r="27" spans="1:26" ht="15.75" customHeight="1" x14ac:dyDescent="0.25">
      <c r="A27" s="41" t="s">
        <v>95</v>
      </c>
      <c r="B27" s="39"/>
      <c r="C27" s="76">
        <f t="shared" ref="C27:G27" si="2">+C28+C29</f>
        <v>-3515190.33</v>
      </c>
      <c r="D27" s="76">
        <f t="shared" si="2"/>
        <v>-3794366.51</v>
      </c>
      <c r="E27" s="76">
        <f t="shared" si="2"/>
        <v>-4097750.71</v>
      </c>
      <c r="F27" s="76">
        <f t="shared" si="2"/>
        <v>-4427442.47</v>
      </c>
      <c r="G27" s="76">
        <f t="shared" si="2"/>
        <v>-4785723.41</v>
      </c>
      <c r="H27" s="29"/>
      <c r="I27" s="29"/>
      <c r="J27" s="29"/>
    </row>
    <row r="28" spans="1:26" ht="15.75" customHeight="1" x14ac:dyDescent="0.25">
      <c r="A28" s="40" t="s">
        <v>96</v>
      </c>
      <c r="B28" s="61"/>
      <c r="C28" s="75">
        <v>-3354990.33</v>
      </c>
      <c r="D28" s="75">
        <v>-3634166.51</v>
      </c>
      <c r="E28" s="75">
        <v>-3937550.71</v>
      </c>
      <c r="F28" s="75">
        <v>-4267242.47</v>
      </c>
      <c r="G28" s="75">
        <v>-4625523.41</v>
      </c>
      <c r="H28" s="29"/>
      <c r="I28" s="29"/>
      <c r="J28" s="29"/>
    </row>
    <row r="29" spans="1:26" ht="15.75" customHeight="1" x14ac:dyDescent="0.25">
      <c r="A29" s="40" t="s">
        <v>97</v>
      </c>
      <c r="B29" s="61"/>
      <c r="C29" s="60">
        <v>-160200</v>
      </c>
      <c r="D29" s="60">
        <v>-160200</v>
      </c>
      <c r="E29" s="60">
        <v>-160200</v>
      </c>
      <c r="F29" s="60">
        <v>-160200</v>
      </c>
      <c r="G29" s="60">
        <v>-160200</v>
      </c>
      <c r="H29" s="29"/>
      <c r="I29" s="29"/>
      <c r="J29" s="29"/>
    </row>
    <row r="30" spans="1:26" ht="15.75" customHeight="1" x14ac:dyDescent="0.25">
      <c r="A30" s="69" t="s">
        <v>98</v>
      </c>
      <c r="B30" s="61"/>
      <c r="C30" s="71">
        <f t="shared" ref="C30:G30" si="3">+C31+C32</f>
        <v>-66600</v>
      </c>
      <c r="D30" s="71">
        <f t="shared" si="3"/>
        <v>-66600</v>
      </c>
      <c r="E30" s="71">
        <f t="shared" si="3"/>
        <v>-66600</v>
      </c>
      <c r="F30" s="71">
        <f t="shared" si="3"/>
        <v>-66600</v>
      </c>
      <c r="G30" s="71">
        <f t="shared" si="3"/>
        <v>-66600</v>
      </c>
      <c r="H30" s="29"/>
      <c r="I30" s="29"/>
      <c r="J30" s="29"/>
    </row>
    <row r="31" spans="1:26" ht="15.75" customHeight="1" x14ac:dyDescent="0.25">
      <c r="A31" s="39" t="s">
        <v>99</v>
      </c>
      <c r="B31" s="61"/>
      <c r="C31" s="60">
        <v>-21000</v>
      </c>
      <c r="D31" s="60">
        <v>-21000</v>
      </c>
      <c r="E31" s="60">
        <v>-21000</v>
      </c>
      <c r="F31" s="60">
        <v>-21000</v>
      </c>
      <c r="G31" s="60">
        <v>-21000</v>
      </c>
      <c r="H31" s="29"/>
      <c r="I31" s="29"/>
      <c r="J31" s="29"/>
    </row>
    <row r="32" spans="1:26" ht="15.75" customHeight="1" x14ac:dyDescent="0.2">
      <c r="A32" s="77" t="s">
        <v>100</v>
      </c>
      <c r="B32" s="61"/>
      <c r="C32" s="60">
        <v>-45600</v>
      </c>
      <c r="D32" s="60">
        <v>-45600</v>
      </c>
      <c r="E32" s="60">
        <v>-45600</v>
      </c>
      <c r="F32" s="60">
        <v>-45600</v>
      </c>
      <c r="G32" s="60">
        <v>-45600</v>
      </c>
      <c r="H32" s="29"/>
      <c r="I32" s="29"/>
      <c r="J32" s="29"/>
    </row>
    <row r="33" spans="1:12" ht="15.75" customHeight="1" x14ac:dyDescent="0.25">
      <c r="A33" s="69" t="s">
        <v>101</v>
      </c>
      <c r="B33" s="61"/>
      <c r="C33" s="71">
        <f>-GyP!C46</f>
        <v>-371439.68879999995</v>
      </c>
      <c r="D33" s="71">
        <f>-GyP!D46</f>
        <v>-391771.6277999999</v>
      </c>
      <c r="E33" s="71">
        <f>-GyP!E46</f>
        <v>-412231.18079999986</v>
      </c>
      <c r="F33" s="71">
        <f>-GyP!F46</f>
        <v>-432713.17679999996</v>
      </c>
      <c r="G33" s="71">
        <f>-GyP!G46</f>
        <v>-620202.61679999984</v>
      </c>
      <c r="H33" s="29"/>
      <c r="I33" s="29"/>
      <c r="J33" s="29"/>
    </row>
    <row r="34" spans="1:12" ht="15.75" customHeight="1" x14ac:dyDescent="0.25">
      <c r="A34" s="39"/>
      <c r="B34" s="61"/>
      <c r="C34" s="60"/>
      <c r="D34" s="60"/>
      <c r="E34" s="60"/>
      <c r="F34" s="60"/>
      <c r="G34" s="60"/>
      <c r="H34" s="29"/>
      <c r="I34" s="29"/>
      <c r="J34" s="29"/>
    </row>
    <row r="35" spans="1:12" ht="15.75" customHeight="1" x14ac:dyDescent="0.2">
      <c r="A35" s="77"/>
      <c r="B35" s="61"/>
      <c r="C35" s="66"/>
      <c r="D35" s="66"/>
      <c r="E35" s="66"/>
      <c r="F35" s="66"/>
      <c r="G35" s="66"/>
      <c r="H35" s="29"/>
      <c r="I35" s="29"/>
      <c r="J35" s="29"/>
    </row>
    <row r="36" spans="1:12" ht="15.75" customHeight="1" x14ac:dyDescent="0.2">
      <c r="A36" s="227" t="s">
        <v>102</v>
      </c>
      <c r="B36" s="228">
        <f>B13</f>
        <v>-1409422.7500000002</v>
      </c>
      <c r="C36" s="229">
        <f t="shared" ref="C36:G36" si="4">C7-C12</f>
        <v>913251.29169999994</v>
      </c>
      <c r="D36" s="229">
        <f t="shared" si="4"/>
        <v>959686.04822499957</v>
      </c>
      <c r="E36" s="229">
        <f t="shared" si="4"/>
        <v>1006368.2490262492</v>
      </c>
      <c r="F36" s="229">
        <f t="shared" si="4"/>
        <v>1053049.9790175632</v>
      </c>
      <c r="G36" s="229">
        <f t="shared" si="4"/>
        <v>2048307.7753084404</v>
      </c>
      <c r="H36" s="29"/>
      <c r="I36" s="29"/>
      <c r="J36" s="51"/>
      <c r="K36" s="78"/>
    </row>
    <row r="37" spans="1:12" ht="15.75" customHeight="1" x14ac:dyDescent="0.25">
      <c r="A37" s="55"/>
      <c r="B37" s="79"/>
      <c r="C37" s="80"/>
      <c r="D37" s="81"/>
      <c r="E37" s="82"/>
      <c r="F37" s="82"/>
      <c r="G37" s="82"/>
      <c r="H37" s="29"/>
      <c r="I37" s="29"/>
      <c r="J37" s="29"/>
    </row>
    <row r="38" spans="1:12" ht="15.75" customHeight="1" x14ac:dyDescent="0.25">
      <c r="A38" s="55" t="s">
        <v>103</v>
      </c>
      <c r="B38" s="83"/>
      <c r="C38" s="80"/>
      <c r="D38" s="81"/>
      <c r="E38" s="82"/>
      <c r="F38" s="82"/>
      <c r="G38" s="82"/>
      <c r="H38" s="29"/>
      <c r="I38" s="29"/>
      <c r="J38" s="29"/>
    </row>
    <row r="39" spans="1:12" ht="15.75" customHeight="1" x14ac:dyDescent="0.25">
      <c r="A39" s="73" t="s">
        <v>104</v>
      </c>
      <c r="B39" s="84">
        <v>543873.79</v>
      </c>
      <c r="C39" s="85"/>
      <c r="D39" s="86"/>
      <c r="E39" s="86"/>
      <c r="F39" s="86"/>
      <c r="G39" s="86"/>
      <c r="H39" s="29"/>
      <c r="I39" s="29"/>
      <c r="J39" s="87"/>
    </row>
    <row r="40" spans="1:12" ht="15.75" customHeight="1" x14ac:dyDescent="0.25">
      <c r="A40" s="73" t="s">
        <v>105</v>
      </c>
      <c r="B40" s="82"/>
      <c r="C40" s="88">
        <f>-Amortizacion!$B$14</f>
        <v>-181860.35652719846</v>
      </c>
      <c r="D40" s="89">
        <f>-Amortizacion!$B$14</f>
        <v>-181860.35652719846</v>
      </c>
      <c r="E40" s="89">
        <f>-Amortizacion!$B$14</f>
        <v>-181860.35652719846</v>
      </c>
      <c r="F40" s="89">
        <f>-Amortizacion!$B$14</f>
        <v>-181860.35652719846</v>
      </c>
      <c r="G40" s="89">
        <f>-Amortizacion!$B$14</f>
        <v>-181860.35652719846</v>
      </c>
      <c r="H40" s="29"/>
      <c r="I40" s="29"/>
      <c r="J40" s="29"/>
    </row>
    <row r="41" spans="1:12" ht="15.75" customHeight="1" x14ac:dyDescent="0.25">
      <c r="A41" s="73" t="s">
        <v>106</v>
      </c>
      <c r="B41" s="82"/>
      <c r="C41" s="80">
        <v>-250</v>
      </c>
      <c r="D41" s="82">
        <v>-250</v>
      </c>
      <c r="E41" s="82">
        <v>-250</v>
      </c>
      <c r="F41" s="82">
        <v>-250</v>
      </c>
      <c r="G41" s="82">
        <v>-250</v>
      </c>
      <c r="H41" s="29"/>
      <c r="I41" s="29"/>
      <c r="J41" s="29"/>
    </row>
    <row r="42" spans="1:12" ht="15.75" customHeight="1" x14ac:dyDescent="0.2">
      <c r="A42" s="73" t="s">
        <v>107</v>
      </c>
      <c r="B42" s="71"/>
      <c r="C42" s="90">
        <f>+Amortizacion!F14</f>
        <v>32632.427400000004</v>
      </c>
      <c r="D42" s="91">
        <f>+Amortizacion!F15</f>
        <v>28247.291488368097</v>
      </c>
      <c r="E42" s="91">
        <f>+Amortizacion!F16</f>
        <v>22985.128394409807</v>
      </c>
      <c r="F42" s="91">
        <f>+Amortizacion!F17</f>
        <v>16670.532681659861</v>
      </c>
      <c r="G42" s="91">
        <f>+Amortizacion!F18</f>
        <v>9093.0178263599282</v>
      </c>
      <c r="H42" s="29"/>
      <c r="I42" s="29"/>
      <c r="J42" s="51"/>
      <c r="K42" s="78"/>
    </row>
    <row r="43" spans="1:12" ht="15.75" customHeight="1" x14ac:dyDescent="0.25">
      <c r="A43" s="39"/>
      <c r="B43" s="82"/>
      <c r="C43" s="80"/>
      <c r="D43" s="81"/>
      <c r="E43" s="82"/>
      <c r="F43" s="82"/>
      <c r="G43" s="82"/>
      <c r="H43" s="29"/>
      <c r="I43" s="29"/>
      <c r="J43" s="29"/>
    </row>
    <row r="44" spans="1:12" ht="15.75" customHeight="1" x14ac:dyDescent="0.25">
      <c r="A44" s="227" t="s">
        <v>108</v>
      </c>
      <c r="B44" s="228">
        <f t="shared" ref="B44:G44" si="5">SUM(B36:B42)</f>
        <v>-865548.9600000002</v>
      </c>
      <c r="C44" s="228">
        <f t="shared" si="5"/>
        <v>763773.36257280153</v>
      </c>
      <c r="D44" s="228">
        <f t="shared" si="5"/>
        <v>805822.98318616918</v>
      </c>
      <c r="E44" s="228">
        <f t="shared" si="5"/>
        <v>847243.02089346049</v>
      </c>
      <c r="F44" s="228">
        <f t="shared" si="5"/>
        <v>887610.15517202462</v>
      </c>
      <c r="G44" s="228">
        <f t="shared" si="5"/>
        <v>1875290.4366076018</v>
      </c>
      <c r="H44" s="29"/>
      <c r="I44" s="29"/>
      <c r="J44" s="51"/>
      <c r="K44" s="78"/>
      <c r="L44" s="62"/>
    </row>
    <row r="45" spans="1:12" ht="15.75" customHeight="1" x14ac:dyDescent="0.25">
      <c r="A45" s="29"/>
      <c r="B45" s="92"/>
      <c r="C45" s="29"/>
      <c r="D45" s="29"/>
      <c r="E45" s="29"/>
      <c r="F45" s="93"/>
      <c r="G45" s="93"/>
      <c r="H45" s="93"/>
      <c r="I45" s="93"/>
      <c r="J45" s="29"/>
    </row>
    <row r="46" spans="1:12" ht="15.75" customHeight="1" x14ac:dyDescent="0.25">
      <c r="A46" s="234" t="s">
        <v>109</v>
      </c>
      <c r="B46" s="235">
        <v>0.3</v>
      </c>
      <c r="C46" s="94"/>
      <c r="D46" s="94"/>
      <c r="E46" s="95"/>
      <c r="F46" s="362"/>
      <c r="G46" s="363"/>
      <c r="H46" s="96"/>
      <c r="I46" s="97"/>
      <c r="J46" s="98"/>
      <c r="K46" s="99"/>
    </row>
    <row r="47" spans="1:12" ht="15.75" customHeight="1" x14ac:dyDescent="0.25">
      <c r="A47" s="236" t="s">
        <v>110</v>
      </c>
      <c r="B47" s="237">
        <v>0.2</v>
      </c>
      <c r="C47" s="100"/>
      <c r="D47" s="29"/>
      <c r="E47" s="31"/>
      <c r="F47" s="362"/>
      <c r="G47" s="363"/>
      <c r="H47" s="101"/>
      <c r="I47" s="97"/>
      <c r="J47" s="35"/>
      <c r="K47" s="99"/>
    </row>
    <row r="48" spans="1:12" ht="15.75" customHeight="1" x14ac:dyDescent="0.2">
      <c r="A48" s="232" t="s">
        <v>111</v>
      </c>
      <c r="B48" s="233">
        <v>0.2</v>
      </c>
      <c r="C48" s="102"/>
      <c r="D48" s="102"/>
      <c r="E48" s="103"/>
      <c r="F48" s="364"/>
      <c r="G48" s="363"/>
      <c r="H48" s="104"/>
      <c r="I48" s="105"/>
      <c r="J48" s="106"/>
      <c r="K48" s="107"/>
    </row>
    <row r="49" spans="1:11" ht="15.75" customHeight="1" x14ac:dyDescent="0.25">
      <c r="A49" s="230" t="s">
        <v>112</v>
      </c>
      <c r="B49" s="231">
        <v>0.17680000000000001</v>
      </c>
      <c r="C49" s="108"/>
      <c r="D49" s="29"/>
      <c r="E49" s="31"/>
      <c r="F49" s="365"/>
      <c r="G49" s="363"/>
      <c r="H49" s="101"/>
      <c r="I49" s="97"/>
      <c r="J49" s="35"/>
    </row>
    <row r="50" spans="1:11" ht="15.75" customHeight="1" x14ac:dyDescent="0.2">
      <c r="A50" s="94"/>
      <c r="B50" s="109"/>
      <c r="C50" s="29"/>
      <c r="D50" s="29"/>
      <c r="E50" s="29"/>
      <c r="F50" s="44"/>
      <c r="G50" s="44"/>
      <c r="H50" s="44"/>
      <c r="I50" s="44"/>
      <c r="J50" s="29"/>
    </row>
    <row r="51" spans="1:11" ht="15.75" customHeight="1" x14ac:dyDescent="0.2">
      <c r="A51" s="226" t="s">
        <v>113</v>
      </c>
      <c r="B51" s="243">
        <v>0</v>
      </c>
      <c r="C51" s="243">
        <v>1</v>
      </c>
      <c r="D51" s="243">
        <v>2</v>
      </c>
      <c r="E51" s="243">
        <v>3</v>
      </c>
      <c r="F51" s="243">
        <v>4</v>
      </c>
      <c r="G51" s="243">
        <v>5</v>
      </c>
      <c r="H51" s="29"/>
      <c r="I51" s="29"/>
      <c r="J51" s="29"/>
    </row>
    <row r="52" spans="1:11" ht="15.75" customHeight="1" x14ac:dyDescent="0.25">
      <c r="A52" s="240" t="s">
        <v>114</v>
      </c>
      <c r="B52" s="241">
        <f t="shared" ref="B52:G52" si="6">+B36</f>
        <v>-1409422.7500000002</v>
      </c>
      <c r="C52" s="242">
        <f t="shared" si="6"/>
        <v>913251.29169999994</v>
      </c>
      <c r="D52" s="242">
        <f t="shared" si="6"/>
        <v>959686.04822499957</v>
      </c>
      <c r="E52" s="242">
        <f t="shared" si="6"/>
        <v>1006368.2490262492</v>
      </c>
      <c r="F52" s="242">
        <f t="shared" si="6"/>
        <v>1053049.9790175632</v>
      </c>
      <c r="G52" s="242">
        <f t="shared" si="6"/>
        <v>2048307.7753084404</v>
      </c>
      <c r="H52" s="29"/>
      <c r="I52" s="29"/>
      <c r="J52" s="110"/>
      <c r="K52" s="111"/>
    </row>
    <row r="53" spans="1:11" ht="15.75" customHeight="1" x14ac:dyDescent="0.25">
      <c r="A53" s="238" t="s">
        <v>115</v>
      </c>
      <c r="B53" s="239">
        <f t="shared" ref="B53:G53" si="7">+B44</f>
        <v>-865548.9600000002</v>
      </c>
      <c r="C53" s="239">
        <f t="shared" si="7"/>
        <v>763773.36257280153</v>
      </c>
      <c r="D53" s="239">
        <f t="shared" si="7"/>
        <v>805822.98318616918</v>
      </c>
      <c r="E53" s="239">
        <f t="shared" si="7"/>
        <v>847243.02089346049</v>
      </c>
      <c r="F53" s="239">
        <f t="shared" si="7"/>
        <v>887610.15517202462</v>
      </c>
      <c r="G53" s="239">
        <f t="shared" si="7"/>
        <v>1875290.4366076018</v>
      </c>
      <c r="H53" s="29"/>
      <c r="I53" s="29"/>
      <c r="J53" s="110"/>
      <c r="K53" s="111"/>
    </row>
    <row r="54" spans="1:11" ht="15.75" customHeight="1" x14ac:dyDescent="0.25">
      <c r="A54" s="40"/>
      <c r="B54" s="40"/>
      <c r="C54" s="92"/>
      <c r="D54" s="92"/>
      <c r="E54" s="92"/>
      <c r="F54" s="92"/>
      <c r="G54" s="92"/>
      <c r="H54" s="92"/>
      <c r="I54" s="92"/>
      <c r="J54" s="110"/>
      <c r="K54" s="112"/>
    </row>
    <row r="55" spans="1:11" ht="15.75" customHeight="1" x14ac:dyDescent="0.25">
      <c r="A55" s="29"/>
      <c r="B55" s="29"/>
      <c r="C55" s="92"/>
      <c r="D55" s="92"/>
      <c r="E55" s="92"/>
      <c r="F55" s="92"/>
      <c r="G55" s="92"/>
      <c r="H55" s="92"/>
      <c r="I55" s="92"/>
      <c r="J55" s="110"/>
    </row>
    <row r="56" spans="1:11" ht="15.75" customHeight="1" x14ac:dyDescent="0.25">
      <c r="A56" s="29"/>
      <c r="B56" s="29"/>
      <c r="C56" s="29"/>
      <c r="D56" s="29"/>
      <c r="E56" s="29"/>
      <c r="F56" s="29"/>
      <c r="G56" s="29"/>
      <c r="H56" s="29"/>
      <c r="I56" s="40"/>
      <c r="J56" s="29"/>
    </row>
    <row r="57" spans="1:11" ht="15.75" customHeight="1" x14ac:dyDescent="0.25">
      <c r="A57" s="181" t="s">
        <v>116</v>
      </c>
      <c r="B57" s="247">
        <f>NPV(B49,C52:G52)+B52</f>
        <v>2133782.8056386197</v>
      </c>
      <c r="C57" s="113"/>
      <c r="D57" s="114"/>
      <c r="E57" s="29"/>
      <c r="F57" s="29"/>
      <c r="G57" s="29"/>
      <c r="H57" s="29"/>
      <c r="I57" s="40"/>
      <c r="J57" s="29"/>
    </row>
    <row r="58" spans="1:11" ht="15.75" customHeight="1" x14ac:dyDescent="0.2">
      <c r="A58" s="186" t="s">
        <v>117</v>
      </c>
      <c r="B58" s="246">
        <f>+IRR(B52:G52)</f>
        <v>0.66519626146315103</v>
      </c>
      <c r="C58" s="113"/>
      <c r="D58" s="114"/>
      <c r="E58" s="29"/>
      <c r="F58" s="93"/>
      <c r="G58" s="93"/>
      <c r="H58" s="93"/>
      <c r="I58" s="93"/>
      <c r="J58" s="93"/>
    </row>
    <row r="59" spans="1:11" ht="15.75" customHeight="1" x14ac:dyDescent="0.2">
      <c r="A59" s="189" t="s">
        <v>118</v>
      </c>
      <c r="B59" s="245">
        <f t="array" ref="B59">NPV(B49,C52:H52)/-B52</f>
        <v>2.5139409418775305</v>
      </c>
      <c r="C59" s="113"/>
      <c r="D59" s="114"/>
      <c r="E59" s="31"/>
      <c r="F59" s="115"/>
      <c r="G59" s="116"/>
      <c r="H59" s="116"/>
      <c r="I59" s="116"/>
      <c r="J59" s="117"/>
    </row>
    <row r="60" spans="1:11" ht="15.75" customHeight="1" x14ac:dyDescent="0.25">
      <c r="A60" s="193" t="s">
        <v>119</v>
      </c>
      <c r="B60" s="244">
        <f>'Periodo de Recupero'!C11</f>
        <v>1.5170143498675437</v>
      </c>
      <c r="C60" s="118"/>
      <c r="D60" s="118"/>
      <c r="E60" s="31"/>
      <c r="F60" s="119"/>
      <c r="G60" s="120"/>
      <c r="H60" s="120"/>
      <c r="I60" s="120"/>
      <c r="J60" s="121"/>
    </row>
    <row r="61" spans="1:11" ht="15.75" customHeight="1" x14ac:dyDescent="0.25">
      <c r="A61" s="40"/>
      <c r="B61" s="40"/>
      <c r="C61" s="118"/>
      <c r="D61" s="118"/>
      <c r="E61" s="31"/>
      <c r="F61" s="122"/>
      <c r="G61" s="123"/>
      <c r="H61" s="123"/>
      <c r="I61" s="123"/>
      <c r="J61" s="124"/>
    </row>
    <row r="62" spans="1:11" ht="15.75" customHeight="1" x14ac:dyDescent="0.2">
      <c r="A62" s="181" t="s">
        <v>120</v>
      </c>
      <c r="B62" s="247">
        <f t="array" ref="B62">NPV(B48,C53:H53)+B53</f>
        <v>2002520.7145102222</v>
      </c>
      <c r="C62" s="113"/>
      <c r="D62" s="114"/>
      <c r="E62" s="29"/>
      <c r="F62" s="44"/>
      <c r="G62" s="44"/>
      <c r="H62" s="44"/>
      <c r="I62" s="44"/>
      <c r="J62" s="44"/>
    </row>
    <row r="63" spans="1:11" ht="15.75" customHeight="1" x14ac:dyDescent="0.2">
      <c r="A63" s="186" t="s">
        <v>121</v>
      </c>
      <c r="B63" s="246">
        <f>IRR(B53:G53)</f>
        <v>0.92825065466751511</v>
      </c>
      <c r="C63" s="113"/>
      <c r="D63" s="114"/>
      <c r="E63" s="29"/>
      <c r="F63" s="29"/>
      <c r="G63" s="29"/>
      <c r="H63" s="29"/>
      <c r="I63" s="29"/>
      <c r="J63" s="29"/>
    </row>
    <row r="64" spans="1:11" ht="15.75" customHeight="1" x14ac:dyDescent="0.2">
      <c r="A64" s="189" t="s">
        <v>122</v>
      </c>
      <c r="B64" s="245">
        <f t="array" ref="B64">NPV(B48,C53:H53)/-B53</f>
        <v>3.3135845654649296</v>
      </c>
      <c r="C64" s="113"/>
      <c r="D64" s="114"/>
      <c r="E64" s="29"/>
      <c r="F64" s="29"/>
      <c r="G64" s="29"/>
      <c r="H64" s="29"/>
      <c r="I64" s="29"/>
      <c r="J64" s="29"/>
    </row>
    <row r="65" spans="1:10" ht="15.75" customHeight="1" x14ac:dyDescent="0.2">
      <c r="A65" s="193" t="s">
        <v>123</v>
      </c>
      <c r="B65" s="244">
        <f>'Periodo de Recupero'!C23</f>
        <v>1.1263001919165732</v>
      </c>
      <c r="C65" s="29"/>
      <c r="D65" s="29"/>
      <c r="E65" s="29"/>
      <c r="F65" s="29"/>
      <c r="G65" s="29"/>
      <c r="H65" s="29"/>
      <c r="I65" s="29"/>
      <c r="J65" s="29"/>
    </row>
    <row r="66" spans="1:10" ht="15.75" customHeight="1" x14ac:dyDescent="0.2"/>
    <row r="67" spans="1:10" ht="15.75" customHeight="1" x14ac:dyDescent="0.2"/>
    <row r="68" spans="1:10" ht="15.75" customHeight="1" x14ac:dyDescent="0.2"/>
    <row r="69" spans="1:10" ht="15.75" customHeight="1" x14ac:dyDescent="0.2"/>
    <row r="70" spans="1:10" ht="15.75" customHeight="1" x14ac:dyDescent="0.2"/>
    <row r="71" spans="1:10" ht="15.75" customHeight="1" x14ac:dyDescent="0.2"/>
    <row r="72" spans="1:10" ht="15.75" customHeight="1" x14ac:dyDescent="0.2"/>
    <row r="73" spans="1:10" ht="15.75" customHeight="1" x14ac:dyDescent="0.2"/>
    <row r="74" spans="1:10" ht="15.75" customHeight="1" x14ac:dyDescent="0.2"/>
    <row r="75" spans="1:10" ht="15.75" customHeight="1" x14ac:dyDescent="0.2"/>
    <row r="76" spans="1:10" ht="15.75" customHeight="1" x14ac:dyDescent="0.2"/>
    <row r="77" spans="1:10" ht="15.75" customHeight="1" x14ac:dyDescent="0.2"/>
    <row r="78" spans="1:10" ht="15.75" customHeight="1" x14ac:dyDescent="0.2"/>
    <row r="79" spans="1:10" ht="15.75" customHeight="1" x14ac:dyDescent="0.2"/>
    <row r="80" spans="1:1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F46:G46"/>
    <mergeCell ref="F47:G47"/>
    <mergeCell ref="F48:G48"/>
    <mergeCell ref="F49:G49"/>
  </mergeCells>
  <pageMargins left="0.7" right="0.7" top="0.75" bottom="0.75" header="0" footer="0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7"/>
  <sheetViews>
    <sheetView workbookViewId="0">
      <selection activeCell="E17" sqref="E17"/>
    </sheetView>
  </sheetViews>
  <sheetFormatPr baseColWidth="10" defaultColWidth="12.625" defaultRowHeight="15" customHeight="1" x14ac:dyDescent="0.2"/>
  <cols>
    <col min="1" max="1" width="10.625" customWidth="1"/>
    <col min="2" max="2" width="20.5" customWidth="1"/>
    <col min="3" max="3" width="37.25" customWidth="1"/>
    <col min="4" max="4" width="20.125" customWidth="1"/>
    <col min="5" max="5" width="16.625" customWidth="1"/>
    <col min="6" max="26" width="10.625" customWidth="1"/>
  </cols>
  <sheetData>
    <row r="1" spans="1:6" ht="14.25" customHeight="1" x14ac:dyDescent="0.2">
      <c r="A1" s="125"/>
      <c r="B1" s="125"/>
      <c r="C1" s="126"/>
      <c r="D1" s="126"/>
      <c r="E1" s="125"/>
      <c r="F1" s="125"/>
    </row>
    <row r="2" spans="1:6" ht="14.25" customHeight="1" x14ac:dyDescent="0.25">
      <c r="A2" s="125"/>
      <c r="B2" s="297"/>
      <c r="C2" s="298" t="s">
        <v>124</v>
      </c>
      <c r="D2" s="299" t="s">
        <v>125</v>
      </c>
      <c r="E2" s="300"/>
      <c r="F2" s="125"/>
    </row>
    <row r="3" spans="1:6" ht="14.25" customHeight="1" x14ac:dyDescent="0.2">
      <c r="A3" s="125"/>
      <c r="B3" s="297"/>
      <c r="C3" s="301" t="s">
        <v>205</v>
      </c>
      <c r="D3" s="302">
        <v>5</v>
      </c>
      <c r="E3" s="300"/>
      <c r="F3" s="125"/>
    </row>
    <row r="4" spans="1:6" ht="14.25" customHeight="1" x14ac:dyDescent="0.2">
      <c r="A4" s="125"/>
      <c r="B4" s="297"/>
      <c r="C4" s="303" t="s">
        <v>127</v>
      </c>
      <c r="D4" s="304" t="s">
        <v>128</v>
      </c>
      <c r="E4" s="300"/>
      <c r="F4" s="125"/>
    </row>
    <row r="5" spans="1:6" ht="14.25" customHeight="1" x14ac:dyDescent="0.2">
      <c r="A5" s="125"/>
      <c r="B5" s="297"/>
      <c r="C5" s="303" t="s">
        <v>112</v>
      </c>
      <c r="D5" s="304">
        <v>0.17680000000000001</v>
      </c>
      <c r="E5" s="300"/>
      <c r="F5" s="125"/>
    </row>
    <row r="6" spans="1:6" ht="14.25" customHeight="1" x14ac:dyDescent="0.2">
      <c r="A6" s="125"/>
      <c r="B6" s="305"/>
      <c r="C6" s="305"/>
      <c r="D6" s="305"/>
      <c r="E6" s="305"/>
      <c r="F6" s="125"/>
    </row>
    <row r="7" spans="1:6" ht="14.25" customHeight="1" x14ac:dyDescent="0.2">
      <c r="A7" s="125"/>
      <c r="B7" s="305"/>
      <c r="C7" s="305"/>
      <c r="D7" s="305"/>
      <c r="E7" s="305"/>
      <c r="F7" s="125"/>
    </row>
    <row r="8" spans="1:6" ht="14.25" customHeight="1" x14ac:dyDescent="0.2">
      <c r="A8" s="125"/>
      <c r="B8" s="306"/>
      <c r="C8" s="306"/>
      <c r="D8" s="306"/>
      <c r="E8" s="306"/>
      <c r="F8" s="125"/>
    </row>
    <row r="9" spans="1:6" ht="14.25" customHeight="1" x14ac:dyDescent="0.25">
      <c r="A9" s="127"/>
      <c r="B9" s="366" t="s">
        <v>129</v>
      </c>
      <c r="C9" s="367"/>
      <c r="D9" s="367"/>
      <c r="E9" s="368"/>
      <c r="F9" s="128"/>
    </row>
    <row r="10" spans="1:6" ht="14.25" customHeight="1" x14ac:dyDescent="0.25">
      <c r="A10" s="127"/>
      <c r="B10" s="307" t="s">
        <v>130</v>
      </c>
      <c r="C10" s="308" t="s">
        <v>131</v>
      </c>
      <c r="D10" s="308" t="s">
        <v>206</v>
      </c>
      <c r="E10" s="309" t="s">
        <v>132</v>
      </c>
      <c r="F10" s="128"/>
    </row>
    <row r="11" spans="1:6" ht="14.25" customHeight="1" x14ac:dyDescent="0.2">
      <c r="A11" s="127"/>
      <c r="B11" s="310">
        <v>0</v>
      </c>
      <c r="C11" s="311">
        <f>+FC!B36</f>
        <v>-1409422.7500000002</v>
      </c>
      <c r="D11" s="311">
        <f>+(1+$D$5)^B11</f>
        <v>1</v>
      </c>
      <c r="E11" s="312">
        <f>+C11/D11</f>
        <v>-1409422.7500000002</v>
      </c>
      <c r="F11" s="128"/>
    </row>
    <row r="12" spans="1:6" ht="14.25" customHeight="1" x14ac:dyDescent="0.2">
      <c r="A12" s="127"/>
      <c r="B12" s="310">
        <v>1</v>
      </c>
      <c r="C12" s="311">
        <f>+FC!C36</f>
        <v>913251.29169999994</v>
      </c>
      <c r="D12" s="311">
        <f t="shared" ref="D12:D16" si="0">+(1+$D$5)^B12</f>
        <v>1.1768000000000001</v>
      </c>
      <c r="E12" s="312">
        <f t="shared" ref="E12:E16" si="1">+C12/D12</f>
        <v>776046.3049796056</v>
      </c>
      <c r="F12" s="128"/>
    </row>
    <row r="13" spans="1:6" ht="14.25" customHeight="1" x14ac:dyDescent="0.2">
      <c r="A13" s="127"/>
      <c r="B13" s="310">
        <v>2</v>
      </c>
      <c r="C13" s="311">
        <f>+FC!D36</f>
        <v>959686.04822499957</v>
      </c>
      <c r="D13" s="311">
        <f t="shared" si="0"/>
        <v>1.3848582400000002</v>
      </c>
      <c r="E13" s="312">
        <f t="shared" si="1"/>
        <v>692985.04388795735</v>
      </c>
      <c r="F13" s="128"/>
    </row>
    <row r="14" spans="1:6" ht="14.25" customHeight="1" x14ac:dyDescent="0.2">
      <c r="A14" s="127"/>
      <c r="B14" s="313">
        <v>3</v>
      </c>
      <c r="C14" s="314">
        <f>+FC!E36</f>
        <v>1006368.2490262492</v>
      </c>
      <c r="D14" s="311">
        <f t="shared" si="0"/>
        <v>1.6297011768320004</v>
      </c>
      <c r="E14" s="312">
        <f t="shared" si="1"/>
        <v>617517.04136493464</v>
      </c>
      <c r="F14" s="128"/>
    </row>
    <row r="15" spans="1:6" ht="14.25" customHeight="1" x14ac:dyDescent="0.2">
      <c r="A15" s="127"/>
      <c r="B15" s="303">
        <v>4</v>
      </c>
      <c r="C15" s="315">
        <f>+FC!F36</f>
        <v>1053049.9790175632</v>
      </c>
      <c r="D15" s="311">
        <f t="shared" si="0"/>
        <v>1.9178323448958983</v>
      </c>
      <c r="E15" s="312">
        <f t="shared" si="1"/>
        <v>549083.43882099027</v>
      </c>
      <c r="F15" s="128"/>
    </row>
    <row r="16" spans="1:6" ht="14.25" customHeight="1" x14ac:dyDescent="0.2">
      <c r="A16" s="127"/>
      <c r="B16" s="316">
        <v>5</v>
      </c>
      <c r="C16" s="317">
        <f>+FC!G36</f>
        <v>2048307.7753084404</v>
      </c>
      <c r="D16" s="318">
        <f t="shared" si="0"/>
        <v>2.256905103473493</v>
      </c>
      <c r="E16" s="319">
        <f t="shared" si="1"/>
        <v>907573.72658513172</v>
      </c>
      <c r="F16" s="128"/>
    </row>
    <row r="17" spans="1:6" ht="14.25" customHeight="1" x14ac:dyDescent="0.2">
      <c r="A17" s="125"/>
      <c r="B17" s="311"/>
      <c r="C17" s="320"/>
      <c r="D17" s="321" t="s">
        <v>37</v>
      </c>
      <c r="E17" s="322">
        <f>SUM(E11:E16)</f>
        <v>2133782.8056386192</v>
      </c>
      <c r="F17" s="128"/>
    </row>
    <row r="18" spans="1:6" ht="14.25" customHeight="1" x14ac:dyDescent="0.2">
      <c r="A18" s="125"/>
      <c r="B18" s="305"/>
      <c r="C18" s="305"/>
      <c r="D18" s="323"/>
      <c r="E18" s="323"/>
      <c r="F18" s="125"/>
    </row>
    <row r="19" spans="1:6" ht="14.25" customHeight="1" x14ac:dyDescent="0.2">
      <c r="A19" s="125"/>
      <c r="B19" s="305"/>
      <c r="C19" s="305"/>
      <c r="D19" s="305"/>
      <c r="E19" s="305"/>
      <c r="F19" s="125"/>
    </row>
    <row r="20" spans="1:6" ht="14.25" customHeight="1" x14ac:dyDescent="0.2">
      <c r="A20" s="125"/>
      <c r="B20" s="305"/>
      <c r="C20" s="305"/>
      <c r="D20" s="305"/>
      <c r="E20" s="305"/>
      <c r="F20" s="125"/>
    </row>
    <row r="21" spans="1:6" ht="14.25" customHeight="1" x14ac:dyDescent="0.2">
      <c r="A21" s="125"/>
      <c r="B21" s="305"/>
      <c r="C21" s="306"/>
      <c r="D21" s="306"/>
      <c r="E21" s="305"/>
      <c r="F21" s="125"/>
    </row>
    <row r="22" spans="1:6" ht="14.25" customHeight="1" x14ac:dyDescent="0.25">
      <c r="A22" s="125"/>
      <c r="B22" s="297"/>
      <c r="C22" s="324" t="s">
        <v>124</v>
      </c>
      <c r="D22" s="325" t="s">
        <v>125</v>
      </c>
      <c r="E22" s="300"/>
      <c r="F22" s="125"/>
    </row>
    <row r="23" spans="1:6" ht="14.25" customHeight="1" x14ac:dyDescent="0.2">
      <c r="A23" s="125"/>
      <c r="B23" s="297"/>
      <c r="C23" s="326" t="s">
        <v>126</v>
      </c>
      <c r="D23" s="326">
        <v>5</v>
      </c>
      <c r="E23" s="300"/>
      <c r="F23" s="125"/>
    </row>
    <row r="24" spans="1:6" ht="14.25" customHeight="1" x14ac:dyDescent="0.2">
      <c r="A24" s="125"/>
      <c r="B24" s="297"/>
      <c r="C24" s="326" t="s">
        <v>127</v>
      </c>
      <c r="D24" s="326" t="s">
        <v>128</v>
      </c>
      <c r="E24" s="300"/>
      <c r="F24" s="125"/>
    </row>
    <row r="25" spans="1:6" ht="14.25" customHeight="1" x14ac:dyDescent="0.2">
      <c r="A25" s="125"/>
      <c r="B25" s="297"/>
      <c r="C25" s="326" t="s">
        <v>133</v>
      </c>
      <c r="D25" s="326">
        <v>0.2</v>
      </c>
      <c r="E25" s="300"/>
      <c r="F25" s="125"/>
    </row>
    <row r="26" spans="1:6" ht="14.25" customHeight="1" x14ac:dyDescent="0.2">
      <c r="A26" s="125"/>
      <c r="B26" s="305"/>
      <c r="C26" s="323"/>
      <c r="D26" s="323"/>
      <c r="E26" s="305"/>
      <c r="F26" s="125"/>
    </row>
    <row r="27" spans="1:6" ht="14.25" customHeight="1" x14ac:dyDescent="0.2">
      <c r="A27" s="125"/>
      <c r="B27" s="306"/>
      <c r="C27" s="306"/>
      <c r="D27" s="306"/>
      <c r="E27" s="306"/>
      <c r="F27" s="125"/>
    </row>
    <row r="28" spans="1:6" ht="14.25" customHeight="1" x14ac:dyDescent="0.25">
      <c r="A28" s="127"/>
      <c r="B28" s="366" t="s">
        <v>134</v>
      </c>
      <c r="C28" s="367"/>
      <c r="D28" s="367"/>
      <c r="E28" s="368"/>
      <c r="F28" s="128"/>
    </row>
    <row r="29" spans="1:6" ht="14.25" customHeight="1" x14ac:dyDescent="0.25">
      <c r="A29" s="127"/>
      <c r="B29" s="307" t="s">
        <v>130</v>
      </c>
      <c r="C29" s="308" t="s">
        <v>131</v>
      </c>
      <c r="D29" s="308" t="s">
        <v>207</v>
      </c>
      <c r="E29" s="309" t="s">
        <v>132</v>
      </c>
      <c r="F29" s="128"/>
    </row>
    <row r="30" spans="1:6" ht="14.25" customHeight="1" x14ac:dyDescent="0.2">
      <c r="A30" s="127"/>
      <c r="B30" s="310">
        <v>0</v>
      </c>
      <c r="C30" s="311">
        <f>+FC!B44</f>
        <v>-865548.9600000002</v>
      </c>
      <c r="D30" s="311">
        <f t="shared" ref="D30:D35" si="2">+(1+$D$25)^B30</f>
        <v>1</v>
      </c>
      <c r="E30" s="312">
        <f t="shared" ref="E30:E35" si="3">+C30/D30</f>
        <v>-865548.9600000002</v>
      </c>
      <c r="F30" s="128"/>
    </row>
    <row r="31" spans="1:6" ht="14.25" customHeight="1" x14ac:dyDescent="0.2">
      <c r="A31" s="127"/>
      <c r="B31" s="310">
        <v>1</v>
      </c>
      <c r="C31" s="311">
        <f>+FC!C44</f>
        <v>763773.36257280153</v>
      </c>
      <c r="D31" s="311">
        <f t="shared" si="2"/>
        <v>1.2</v>
      </c>
      <c r="E31" s="312">
        <f t="shared" si="3"/>
        <v>636477.80214400135</v>
      </c>
      <c r="F31" s="128"/>
    </row>
    <row r="32" spans="1:6" ht="14.25" customHeight="1" x14ac:dyDescent="0.2">
      <c r="A32" s="127"/>
      <c r="B32" s="310">
        <v>2</v>
      </c>
      <c r="C32" s="311">
        <f>+FC!D44</f>
        <v>805822.98318616918</v>
      </c>
      <c r="D32" s="311">
        <f t="shared" si="2"/>
        <v>1.44</v>
      </c>
      <c r="E32" s="312">
        <f t="shared" si="3"/>
        <v>559599.29387928417</v>
      </c>
      <c r="F32" s="128"/>
    </row>
    <row r="33" spans="1:6" ht="14.25" customHeight="1" x14ac:dyDescent="0.2">
      <c r="A33" s="127"/>
      <c r="B33" s="313">
        <v>3</v>
      </c>
      <c r="C33" s="314">
        <f>+FC!E44</f>
        <v>847243.02089346049</v>
      </c>
      <c r="D33" s="311">
        <f t="shared" si="2"/>
        <v>1.728</v>
      </c>
      <c r="E33" s="312">
        <f t="shared" si="3"/>
        <v>490302.67412816</v>
      </c>
      <c r="F33" s="128"/>
    </row>
    <row r="34" spans="1:6" ht="14.25" customHeight="1" x14ac:dyDescent="0.2">
      <c r="A34" s="127"/>
      <c r="B34" s="303">
        <v>4</v>
      </c>
      <c r="C34" s="315">
        <f>+FC!F44</f>
        <v>887610.15517202462</v>
      </c>
      <c r="D34" s="311">
        <f t="shared" si="2"/>
        <v>2.0735999999999999</v>
      </c>
      <c r="E34" s="312">
        <f t="shared" si="3"/>
        <v>428052.73686922487</v>
      </c>
      <c r="F34" s="128"/>
    </row>
    <row r="35" spans="1:6" ht="14.25" customHeight="1" x14ac:dyDescent="0.2">
      <c r="A35" s="127"/>
      <c r="B35" s="316">
        <v>5</v>
      </c>
      <c r="C35" s="317">
        <f>+FC!G44</f>
        <v>1875290.4366076018</v>
      </c>
      <c r="D35" s="314">
        <f t="shared" si="2"/>
        <v>2.4883199999999999</v>
      </c>
      <c r="E35" s="312">
        <f t="shared" si="3"/>
        <v>753637.16748955194</v>
      </c>
      <c r="F35" s="128"/>
    </row>
    <row r="36" spans="1:6" ht="14.25" customHeight="1" x14ac:dyDescent="0.2">
      <c r="A36" s="127"/>
      <c r="B36" s="313"/>
      <c r="C36" s="314"/>
      <c r="D36" s="315" t="s">
        <v>37</v>
      </c>
      <c r="E36" s="302">
        <f>SUM(E30:E35)</f>
        <v>2002520.7145102222</v>
      </c>
      <c r="F36" s="128"/>
    </row>
    <row r="37" spans="1:6" ht="14.25" customHeight="1" x14ac:dyDescent="0.2">
      <c r="A37" s="125"/>
      <c r="B37" s="129"/>
      <c r="C37" s="129"/>
      <c r="D37" s="129"/>
      <c r="E37" s="129"/>
      <c r="F37" s="125"/>
    </row>
    <row r="38" spans="1:6" ht="14.25" customHeight="1" x14ac:dyDescent="0.2"/>
    <row r="39" spans="1:6" ht="14.25" customHeight="1" x14ac:dyDescent="0.2"/>
    <row r="40" spans="1:6" ht="14.25" customHeight="1" x14ac:dyDescent="0.2"/>
    <row r="41" spans="1:6" ht="14.25" customHeight="1" x14ac:dyDescent="0.2"/>
    <row r="42" spans="1:6" ht="14.25" customHeight="1" x14ac:dyDescent="0.2"/>
    <row r="43" spans="1:6" ht="14.25" customHeight="1" x14ac:dyDescent="0.2"/>
    <row r="44" spans="1:6" ht="14.25" customHeight="1" x14ac:dyDescent="0.2"/>
    <row r="45" spans="1:6" ht="14.25" customHeight="1" x14ac:dyDescent="0.2"/>
    <row r="46" spans="1:6" ht="14.25" customHeight="1" x14ac:dyDescent="0.2"/>
    <row r="47" spans="1:6" ht="14.25" customHeight="1" x14ac:dyDescent="0.2"/>
    <row r="48" spans="1:6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</sheetData>
  <mergeCells count="2">
    <mergeCell ref="B9:E9"/>
    <mergeCell ref="B28:E28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zoomScale="115" zoomScaleNormal="115" workbookViewId="0">
      <selection activeCell="C54" sqref="C54"/>
    </sheetView>
  </sheetViews>
  <sheetFormatPr baseColWidth="10" defaultColWidth="12.625" defaultRowHeight="15" customHeight="1" x14ac:dyDescent="0.2"/>
  <cols>
    <col min="1" max="1" width="9.375" customWidth="1"/>
    <col min="2" max="2" width="29.5" customWidth="1"/>
    <col min="3" max="3" width="16.5" customWidth="1"/>
    <col min="4" max="4" width="19.25" customWidth="1"/>
    <col min="5" max="5" width="20.75" customWidth="1"/>
    <col min="6" max="6" width="19.875" customWidth="1"/>
    <col min="7" max="7" width="20.25" customWidth="1"/>
    <col min="8" max="8" width="13.125" customWidth="1"/>
  </cols>
  <sheetData>
    <row r="1" spans="1:8" ht="15" customHeight="1" x14ac:dyDescent="0.2">
      <c r="A1" s="29"/>
      <c r="B1" s="29"/>
      <c r="C1" s="29"/>
      <c r="D1" s="29"/>
      <c r="E1" s="29"/>
      <c r="F1" s="29"/>
      <c r="G1" s="29"/>
      <c r="H1" s="29"/>
    </row>
    <row r="2" spans="1:8" x14ac:dyDescent="0.25">
      <c r="A2" s="29"/>
      <c r="B2" s="369" t="s">
        <v>135</v>
      </c>
      <c r="C2" s="370"/>
      <c r="D2" s="370"/>
      <c r="E2" s="370"/>
      <c r="F2" s="370"/>
      <c r="G2" s="371"/>
      <c r="H2" s="29"/>
    </row>
    <row r="3" spans="1:8" ht="15" customHeight="1" x14ac:dyDescent="0.2">
      <c r="A3" s="29"/>
      <c r="B3" s="29"/>
      <c r="C3" s="29"/>
      <c r="D3" s="29"/>
      <c r="E3" s="29"/>
      <c r="F3" s="29"/>
      <c r="G3" s="29"/>
      <c r="H3" s="29"/>
    </row>
    <row r="4" spans="1:8" x14ac:dyDescent="0.25">
      <c r="A4" s="29"/>
      <c r="B4" s="62"/>
      <c r="C4" s="131">
        <v>1</v>
      </c>
      <c r="D4" s="131">
        <v>2</v>
      </c>
      <c r="E4" s="131">
        <v>3</v>
      </c>
      <c r="F4" s="131">
        <v>4</v>
      </c>
      <c r="G4" s="131">
        <v>5</v>
      </c>
      <c r="H4" s="29"/>
    </row>
    <row r="5" spans="1:8" ht="14.25" x14ac:dyDescent="0.2">
      <c r="A5" s="29"/>
      <c r="B5" s="132"/>
      <c r="C5" s="133"/>
      <c r="D5" s="134"/>
      <c r="E5" s="133"/>
      <c r="F5" s="133"/>
      <c r="G5" s="133"/>
      <c r="H5" s="29"/>
    </row>
    <row r="6" spans="1:8" ht="14.25" x14ac:dyDescent="0.2">
      <c r="A6" s="29"/>
      <c r="B6" s="135" t="s">
        <v>136</v>
      </c>
      <c r="C6" s="136">
        <v>4886610</v>
      </c>
      <c r="D6" s="137">
        <v>5233559.3099999996</v>
      </c>
      <c r="E6" s="136">
        <v>5605142.0199999996</v>
      </c>
      <c r="F6" s="136">
        <v>6003107.0999999996</v>
      </c>
      <c r="G6" s="136">
        <v>6986352.8399999999</v>
      </c>
      <c r="H6" s="29"/>
    </row>
    <row r="7" spans="1:8" x14ac:dyDescent="0.25">
      <c r="A7" s="29"/>
      <c r="B7" s="138" t="s">
        <v>137</v>
      </c>
      <c r="C7" s="136">
        <f t="shared" ref="C7:F7" si="0">+C6</f>
        <v>4886610</v>
      </c>
      <c r="D7" s="136">
        <f t="shared" si="0"/>
        <v>5233559.3099999996</v>
      </c>
      <c r="E7" s="136">
        <f t="shared" si="0"/>
        <v>5605142.0199999996</v>
      </c>
      <c r="F7" s="136">
        <f t="shared" si="0"/>
        <v>6003107.0999999996</v>
      </c>
      <c r="G7" s="139">
        <v>6429327.71</v>
      </c>
      <c r="H7" s="140"/>
    </row>
    <row r="8" spans="1:8" ht="14.25" x14ac:dyDescent="0.2">
      <c r="A8" s="29"/>
      <c r="B8" s="138" t="s">
        <v>138</v>
      </c>
      <c r="C8" s="136"/>
      <c r="D8" s="137"/>
      <c r="E8" s="136"/>
      <c r="F8" s="136"/>
      <c r="G8" s="136">
        <v>557025.14</v>
      </c>
      <c r="H8" s="29"/>
    </row>
    <row r="9" spans="1:8" ht="14.25" x14ac:dyDescent="0.2">
      <c r="A9" s="29"/>
      <c r="B9" s="141" t="s">
        <v>139</v>
      </c>
      <c r="C9" s="136">
        <v>3515190.33</v>
      </c>
      <c r="D9" s="136">
        <v>3794366.51</v>
      </c>
      <c r="E9" s="136">
        <v>4097750.71</v>
      </c>
      <c r="F9" s="136">
        <v>4427442.47</v>
      </c>
      <c r="G9" s="136">
        <v>4785723.41</v>
      </c>
      <c r="H9" s="29"/>
    </row>
    <row r="10" spans="1:8" ht="14.25" x14ac:dyDescent="0.2">
      <c r="A10" s="29"/>
      <c r="B10" s="141"/>
      <c r="C10" s="136"/>
      <c r="D10" s="136"/>
      <c r="E10" s="136"/>
      <c r="F10" s="136"/>
      <c r="G10" s="136"/>
      <c r="H10" s="29"/>
    </row>
    <row r="11" spans="1:8" ht="14.25" x14ac:dyDescent="0.2">
      <c r="A11" s="29"/>
      <c r="B11" s="142" t="s">
        <v>140</v>
      </c>
      <c r="C11" s="143">
        <f t="shared" ref="C11:F11" si="1">C7-C9</f>
        <v>1371419.67</v>
      </c>
      <c r="D11" s="143">
        <f t="shared" si="1"/>
        <v>1439192.7999999998</v>
      </c>
      <c r="E11" s="143">
        <f t="shared" si="1"/>
        <v>1507391.3099999996</v>
      </c>
      <c r="F11" s="143">
        <f t="shared" si="1"/>
        <v>1575664.63</v>
      </c>
      <c r="G11" s="143">
        <f>G6-G9-G8</f>
        <v>1643604.2899999996</v>
      </c>
      <c r="H11" s="29"/>
    </row>
    <row r="12" spans="1:8" ht="14.25" x14ac:dyDescent="0.2">
      <c r="A12" s="29"/>
      <c r="B12" s="141"/>
      <c r="C12" s="144"/>
      <c r="D12" s="145"/>
      <c r="E12" s="144"/>
      <c r="F12" s="144"/>
      <c r="G12" s="144"/>
      <c r="H12" s="29"/>
    </row>
    <row r="13" spans="1:8" ht="14.25" x14ac:dyDescent="0.2">
      <c r="A13" s="29"/>
      <c r="B13" s="141" t="s">
        <v>141</v>
      </c>
      <c r="C13" s="136">
        <f t="shared" ref="C13:G13" si="2">SUM(C14:C15)</f>
        <v>66600</v>
      </c>
      <c r="D13" s="136">
        <f t="shared" si="2"/>
        <v>66600</v>
      </c>
      <c r="E13" s="136">
        <f t="shared" si="2"/>
        <v>66600</v>
      </c>
      <c r="F13" s="136">
        <f t="shared" si="2"/>
        <v>66600</v>
      </c>
      <c r="G13" s="136">
        <f t="shared" si="2"/>
        <v>66600</v>
      </c>
      <c r="H13" s="29"/>
    </row>
    <row r="14" spans="1:8" ht="14.25" x14ac:dyDescent="0.2">
      <c r="A14" s="29"/>
      <c r="B14" s="138" t="s">
        <v>142</v>
      </c>
      <c r="C14" s="136">
        <v>21000</v>
      </c>
      <c r="D14" s="136">
        <v>21000</v>
      </c>
      <c r="E14" s="136">
        <v>21000</v>
      </c>
      <c r="F14" s="136">
        <v>21000</v>
      </c>
      <c r="G14" s="136">
        <v>21000</v>
      </c>
      <c r="H14" s="29"/>
    </row>
    <row r="15" spans="1:8" ht="14.25" x14ac:dyDescent="0.2">
      <c r="A15" s="29"/>
      <c r="B15" s="138" t="s">
        <v>143</v>
      </c>
      <c r="C15" s="136">
        <v>45600</v>
      </c>
      <c r="D15" s="136">
        <v>45600</v>
      </c>
      <c r="E15" s="136">
        <v>45600</v>
      </c>
      <c r="F15" s="136">
        <v>45600</v>
      </c>
      <c r="G15" s="136">
        <v>45600</v>
      </c>
      <c r="H15" s="29"/>
    </row>
    <row r="16" spans="1:8" ht="25.5" x14ac:dyDescent="0.2">
      <c r="A16" s="29"/>
      <c r="B16" s="146" t="s">
        <v>144</v>
      </c>
      <c r="C16" s="136">
        <f>Depreciacion!G18</f>
        <v>66687.373999999996</v>
      </c>
      <c r="D16" s="136">
        <f>Depreciacion!H18</f>
        <v>66687.373999999996</v>
      </c>
      <c r="E16" s="136">
        <f>Depreciacion!I18</f>
        <v>66687.373999999996</v>
      </c>
      <c r="F16" s="136">
        <f>Depreciacion!J18</f>
        <v>66687.373999999996</v>
      </c>
      <c r="G16" s="136">
        <f>Depreciacion!K18</f>
        <v>66687.373999999996</v>
      </c>
      <c r="H16" s="29"/>
    </row>
    <row r="17" spans="1:8" ht="14.25" x14ac:dyDescent="0.2">
      <c r="A17" s="29"/>
      <c r="B17" s="135"/>
      <c r="C17" s="136"/>
      <c r="D17" s="137"/>
      <c r="E17" s="136"/>
      <c r="F17" s="136"/>
      <c r="G17" s="136"/>
      <c r="H17" s="29"/>
    </row>
    <row r="18" spans="1:8" ht="14.25" x14ac:dyDescent="0.2">
      <c r="A18" s="29"/>
      <c r="B18" s="147" t="s">
        <v>145</v>
      </c>
      <c r="C18" s="148">
        <f t="shared" ref="C18:G18" si="3">C11-(C14+C15+C16)</f>
        <v>1238132.2959999999</v>
      </c>
      <c r="D18" s="148">
        <f t="shared" si="3"/>
        <v>1305905.4259999997</v>
      </c>
      <c r="E18" s="148">
        <f t="shared" si="3"/>
        <v>1374103.9359999995</v>
      </c>
      <c r="F18" s="148">
        <f t="shared" si="3"/>
        <v>1442377.2559999998</v>
      </c>
      <c r="G18" s="148">
        <f t="shared" si="3"/>
        <v>1510316.9159999995</v>
      </c>
      <c r="H18" s="29"/>
    </row>
    <row r="19" spans="1:8" ht="14.25" x14ac:dyDescent="0.2">
      <c r="A19" s="29"/>
      <c r="B19" s="135"/>
      <c r="C19" s="136"/>
      <c r="D19" s="137"/>
      <c r="E19" s="136"/>
      <c r="F19" s="136"/>
      <c r="G19" s="136"/>
      <c r="H19" s="29"/>
    </row>
    <row r="20" spans="1:8" ht="14.25" x14ac:dyDescent="0.2">
      <c r="A20" s="29"/>
      <c r="B20" s="135" t="s">
        <v>146</v>
      </c>
      <c r="C20" s="136">
        <f>+Amortizacion!C14</f>
        <v>108774.75800000002</v>
      </c>
      <c r="D20" s="136">
        <f>+Amortizacion!C15</f>
        <v>94157.638294560325</v>
      </c>
      <c r="E20" s="136">
        <f>+Amortizacion!C16</f>
        <v>76617.094648032697</v>
      </c>
      <c r="F20" s="136">
        <f>+Amortizacion!D17</f>
        <v>126291.9142549989</v>
      </c>
      <c r="G20" s="136">
        <f>+Amortizacion!D18</f>
        <v>151550.2971059987</v>
      </c>
      <c r="H20" s="29"/>
    </row>
    <row r="21" spans="1:8" ht="15.75" customHeight="1" x14ac:dyDescent="0.2">
      <c r="A21" s="29"/>
      <c r="B21" s="135"/>
      <c r="C21" s="136"/>
      <c r="D21" s="137"/>
      <c r="E21" s="136"/>
      <c r="F21" s="136"/>
      <c r="G21" s="136"/>
      <c r="H21" s="29"/>
    </row>
    <row r="22" spans="1:8" ht="15.75" customHeight="1" x14ac:dyDescent="0.2">
      <c r="A22" s="29"/>
      <c r="B22" s="213" t="s">
        <v>147</v>
      </c>
      <c r="C22" s="149">
        <f t="shared" ref="C22:G22" si="4">C18-C20</f>
        <v>1129357.5379999999</v>
      </c>
      <c r="D22" s="149">
        <f t="shared" si="4"/>
        <v>1211747.7877054394</v>
      </c>
      <c r="E22" s="149">
        <f t="shared" si="4"/>
        <v>1297486.8413519668</v>
      </c>
      <c r="F22" s="149">
        <f t="shared" si="4"/>
        <v>1316085.3417450008</v>
      </c>
      <c r="G22" s="149">
        <f t="shared" si="4"/>
        <v>1358766.6188940008</v>
      </c>
      <c r="H22" s="29"/>
    </row>
    <row r="23" spans="1:8" ht="15.75" customHeight="1" x14ac:dyDescent="0.2">
      <c r="A23" s="29"/>
      <c r="B23" s="135"/>
      <c r="C23" s="136"/>
      <c r="D23" s="137"/>
      <c r="E23" s="136"/>
      <c r="F23" s="136"/>
      <c r="G23" s="136"/>
      <c r="H23" s="29"/>
    </row>
    <row r="24" spans="1:8" ht="15.75" customHeight="1" x14ac:dyDescent="0.2">
      <c r="A24" s="29"/>
      <c r="B24" s="135" t="s">
        <v>148</v>
      </c>
      <c r="C24" s="136">
        <f t="shared" ref="C24:G24" si="5">C22*30%</f>
        <v>338807.26139999996</v>
      </c>
      <c r="D24" s="136">
        <f t="shared" si="5"/>
        <v>363524.33631163178</v>
      </c>
      <c r="E24" s="136">
        <f t="shared" si="5"/>
        <v>389246.05240559002</v>
      </c>
      <c r="F24" s="136">
        <f t="shared" si="5"/>
        <v>394825.60252350022</v>
      </c>
      <c r="G24" s="136">
        <f t="shared" si="5"/>
        <v>407629.98566820024</v>
      </c>
      <c r="H24" s="29"/>
    </row>
    <row r="25" spans="1:8" ht="15.75" customHeight="1" x14ac:dyDescent="0.2">
      <c r="A25" s="29"/>
      <c r="B25" s="150"/>
      <c r="C25" s="151"/>
      <c r="D25" s="152"/>
      <c r="E25" s="151"/>
      <c r="F25" s="151"/>
      <c r="G25" s="151"/>
      <c r="H25" s="29"/>
    </row>
    <row r="26" spans="1:8" ht="15.75" customHeight="1" x14ac:dyDescent="0.2">
      <c r="A26" s="29"/>
      <c r="B26" s="153" t="s">
        <v>149</v>
      </c>
      <c r="C26" s="154">
        <f>C22-C24</f>
        <v>790550.27659999998</v>
      </c>
      <c r="D26" s="154">
        <f t="shared" ref="D26:G26" si="6">D22-D24</f>
        <v>848223.45139380754</v>
      </c>
      <c r="E26" s="154">
        <f t="shared" si="6"/>
        <v>908240.78894637688</v>
      </c>
      <c r="F26" s="154">
        <f t="shared" si="6"/>
        <v>921259.73922150058</v>
      </c>
      <c r="G26" s="154">
        <f t="shared" si="6"/>
        <v>951136.63322580047</v>
      </c>
      <c r="H26" s="29"/>
    </row>
    <row r="27" spans="1:8" ht="15.75" customHeight="1" x14ac:dyDescent="0.2">
      <c r="A27" s="29"/>
      <c r="B27" s="29"/>
      <c r="C27" s="29"/>
      <c r="D27" s="29"/>
      <c r="E27" s="29"/>
      <c r="F27" s="29"/>
      <c r="G27" s="29"/>
      <c r="H27" s="29"/>
    </row>
    <row r="28" spans="1:8" ht="15.75" customHeight="1" x14ac:dyDescent="0.25">
      <c r="A28" s="29"/>
      <c r="B28" s="372" t="s">
        <v>150</v>
      </c>
      <c r="C28" s="370"/>
      <c r="D28" s="370"/>
      <c r="E28" s="370"/>
      <c r="F28" s="370"/>
      <c r="G28" s="371"/>
      <c r="H28" s="29"/>
    </row>
    <row r="29" spans="1:8" ht="15.75" customHeight="1" x14ac:dyDescent="0.2">
      <c r="A29" s="29"/>
      <c r="B29" s="29"/>
      <c r="C29" s="29"/>
      <c r="D29" s="29"/>
      <c r="E29" s="29"/>
      <c r="F29" s="29"/>
      <c r="G29" s="29"/>
      <c r="H29" s="29"/>
    </row>
    <row r="30" spans="1:8" ht="15.75" customHeight="1" x14ac:dyDescent="0.25">
      <c r="A30" s="29"/>
      <c r="B30" s="40"/>
      <c r="C30" s="155">
        <v>1</v>
      </c>
      <c r="D30" s="155">
        <v>2</v>
      </c>
      <c r="E30" s="155">
        <v>3</v>
      </c>
      <c r="F30" s="155">
        <v>4</v>
      </c>
      <c r="G30" s="155">
        <v>5</v>
      </c>
      <c r="H30" s="29"/>
    </row>
    <row r="31" spans="1:8" ht="15.75" customHeight="1" x14ac:dyDescent="0.2">
      <c r="A31" s="29"/>
      <c r="B31" s="132"/>
      <c r="C31" s="56"/>
      <c r="D31" s="156"/>
      <c r="E31" s="56"/>
      <c r="F31" s="56"/>
      <c r="G31" s="56"/>
      <c r="H31" s="29"/>
    </row>
    <row r="32" spans="1:8" ht="15.75" customHeight="1" x14ac:dyDescent="0.2">
      <c r="A32" s="29"/>
      <c r="B32" s="135" t="s">
        <v>151</v>
      </c>
      <c r="C32" s="136">
        <v>4886610</v>
      </c>
      <c r="D32" s="137">
        <v>5233559.3099999996</v>
      </c>
      <c r="E32" s="136">
        <v>5605142.0199999996</v>
      </c>
      <c r="F32" s="136">
        <v>6003107.0999999996</v>
      </c>
      <c r="G32" s="136">
        <v>6986352.8399999999</v>
      </c>
      <c r="H32" s="29"/>
    </row>
    <row r="33" spans="1:8" ht="15.75" customHeight="1" x14ac:dyDescent="0.2">
      <c r="A33" s="29"/>
      <c r="B33" s="138" t="s">
        <v>137</v>
      </c>
      <c r="C33" s="136">
        <f t="shared" ref="C33:F33" si="7">+C32</f>
        <v>4886610</v>
      </c>
      <c r="D33" s="136">
        <f t="shared" si="7"/>
        <v>5233559.3099999996</v>
      </c>
      <c r="E33" s="136">
        <f t="shared" si="7"/>
        <v>5605142.0199999996</v>
      </c>
      <c r="F33" s="136">
        <f t="shared" si="7"/>
        <v>6003107.0999999996</v>
      </c>
      <c r="G33" s="136">
        <v>6429327.71</v>
      </c>
      <c r="H33" s="29"/>
    </row>
    <row r="34" spans="1:8" ht="15.75" customHeight="1" x14ac:dyDescent="0.2">
      <c r="A34" s="29"/>
      <c r="B34" s="138" t="s">
        <v>138</v>
      </c>
      <c r="C34" s="136"/>
      <c r="D34" s="137"/>
      <c r="E34" s="136"/>
      <c r="F34" s="136"/>
      <c r="G34" s="136">
        <v>557025.14</v>
      </c>
      <c r="H34" s="29"/>
    </row>
    <row r="35" spans="1:8" ht="15.75" customHeight="1" x14ac:dyDescent="0.2">
      <c r="A35" s="29"/>
      <c r="B35" s="141" t="s">
        <v>139</v>
      </c>
      <c r="C35" s="136">
        <v>3515190.33</v>
      </c>
      <c r="D35" s="136">
        <v>3794366.51</v>
      </c>
      <c r="E35" s="136">
        <v>4097750.71</v>
      </c>
      <c r="F35" s="136">
        <v>4427442.47</v>
      </c>
      <c r="G35" s="136">
        <v>4785723.41</v>
      </c>
      <c r="H35" s="29"/>
    </row>
    <row r="36" spans="1:8" ht="15.75" customHeight="1" x14ac:dyDescent="0.2">
      <c r="A36" s="29"/>
      <c r="B36" s="141"/>
      <c r="C36" s="136"/>
      <c r="D36" s="136"/>
      <c r="E36" s="136"/>
      <c r="F36" s="136"/>
      <c r="G36" s="136"/>
      <c r="H36" s="29"/>
    </row>
    <row r="37" spans="1:8" ht="15.75" customHeight="1" x14ac:dyDescent="0.2">
      <c r="A37" s="29"/>
      <c r="B37" s="147" t="s">
        <v>140</v>
      </c>
      <c r="C37" s="148">
        <f t="shared" ref="C37:F37" si="8">C33-C35</f>
        <v>1371419.67</v>
      </c>
      <c r="D37" s="148">
        <f t="shared" si="8"/>
        <v>1439192.7999999998</v>
      </c>
      <c r="E37" s="148">
        <f t="shared" si="8"/>
        <v>1507391.3099999996</v>
      </c>
      <c r="F37" s="148">
        <f t="shared" si="8"/>
        <v>1575664.63</v>
      </c>
      <c r="G37" s="148">
        <f>G32-G35</f>
        <v>2200629.4299999997</v>
      </c>
      <c r="H37" s="29"/>
    </row>
    <row r="38" spans="1:8" ht="15.75" customHeight="1" x14ac:dyDescent="0.2">
      <c r="A38" s="29"/>
      <c r="B38" s="141"/>
      <c r="C38" s="144"/>
      <c r="D38" s="145"/>
      <c r="E38" s="144"/>
      <c r="F38" s="144"/>
      <c r="G38" s="144"/>
      <c r="H38" s="29"/>
    </row>
    <row r="39" spans="1:8" ht="15.75" customHeight="1" x14ac:dyDescent="0.2">
      <c r="A39" s="29"/>
      <c r="B39" s="141" t="s">
        <v>141</v>
      </c>
      <c r="C39" s="136">
        <f t="shared" ref="C39:G39" si="9">SUM(C40:C41)</f>
        <v>66600</v>
      </c>
      <c r="D39" s="136">
        <f t="shared" si="9"/>
        <v>66600</v>
      </c>
      <c r="E39" s="136">
        <f t="shared" si="9"/>
        <v>66600</v>
      </c>
      <c r="F39" s="136">
        <f t="shared" si="9"/>
        <v>66600</v>
      </c>
      <c r="G39" s="136">
        <f t="shared" si="9"/>
        <v>66600</v>
      </c>
      <c r="H39" s="29"/>
    </row>
    <row r="40" spans="1:8" ht="15.75" customHeight="1" x14ac:dyDescent="0.2">
      <c r="A40" s="29"/>
      <c r="B40" s="138" t="s">
        <v>142</v>
      </c>
      <c r="C40" s="136">
        <v>21000</v>
      </c>
      <c r="D40" s="136">
        <v>21000</v>
      </c>
      <c r="E40" s="136">
        <v>21000</v>
      </c>
      <c r="F40" s="136">
        <v>21000</v>
      </c>
      <c r="G40" s="136">
        <v>21000</v>
      </c>
      <c r="H40" s="29"/>
    </row>
    <row r="41" spans="1:8" ht="15.75" customHeight="1" x14ac:dyDescent="0.2">
      <c r="A41" s="29"/>
      <c r="B41" s="138" t="s">
        <v>143</v>
      </c>
      <c r="C41" s="136">
        <v>45600</v>
      </c>
      <c r="D41" s="136">
        <v>45600</v>
      </c>
      <c r="E41" s="136">
        <v>45600</v>
      </c>
      <c r="F41" s="136">
        <v>45600</v>
      </c>
      <c r="G41" s="136">
        <v>45600</v>
      </c>
      <c r="H41" s="29"/>
    </row>
    <row r="42" spans="1:8" ht="15.75" customHeight="1" x14ac:dyDescent="0.2">
      <c r="A42" s="29"/>
      <c r="B42" s="135" t="s">
        <v>152</v>
      </c>
      <c r="C42" s="136">
        <f>Depreciacion!G18</f>
        <v>66687.373999999996</v>
      </c>
      <c r="D42" s="136">
        <f>Depreciacion!H18</f>
        <v>66687.373999999996</v>
      </c>
      <c r="E42" s="136">
        <f>Depreciacion!I18</f>
        <v>66687.373999999996</v>
      </c>
      <c r="F42" s="136">
        <f>Depreciacion!J18</f>
        <v>66687.373999999996</v>
      </c>
      <c r="G42" s="136">
        <f>Depreciacion!K18</f>
        <v>66687.373999999996</v>
      </c>
      <c r="H42" s="29"/>
    </row>
    <row r="43" spans="1:8" ht="15.75" customHeight="1" x14ac:dyDescent="0.2">
      <c r="A43" s="29"/>
      <c r="B43" s="135"/>
      <c r="C43" s="136"/>
      <c r="D43" s="137"/>
      <c r="E43" s="136"/>
      <c r="F43" s="136"/>
      <c r="G43" s="136"/>
      <c r="H43" s="29"/>
    </row>
    <row r="44" spans="1:8" ht="15.75" customHeight="1" x14ac:dyDescent="0.2">
      <c r="A44" s="29"/>
      <c r="B44" s="147" t="s">
        <v>145</v>
      </c>
      <c r="C44" s="148">
        <f t="shared" ref="C44:F44" si="10">C37-(C40+C41+C42)</f>
        <v>1238132.2959999999</v>
      </c>
      <c r="D44" s="148">
        <f t="shared" si="10"/>
        <v>1305905.4259999997</v>
      </c>
      <c r="E44" s="148">
        <f t="shared" si="10"/>
        <v>1374103.9359999995</v>
      </c>
      <c r="F44" s="148">
        <f t="shared" si="10"/>
        <v>1442377.2559999998</v>
      </c>
      <c r="G44" s="148">
        <f>G37-(G39+G42)</f>
        <v>2067342.0559999996</v>
      </c>
      <c r="H44" s="29"/>
    </row>
    <row r="45" spans="1:8" ht="15.75" customHeight="1" x14ac:dyDescent="0.2">
      <c r="A45" s="29"/>
      <c r="B45" s="135"/>
      <c r="C45" s="136"/>
      <c r="D45" s="137"/>
      <c r="E45" s="136"/>
      <c r="F45" s="136"/>
      <c r="G45" s="136"/>
      <c r="H45" s="29"/>
    </row>
    <row r="46" spans="1:8" ht="15.75" customHeight="1" x14ac:dyDescent="0.2">
      <c r="A46" s="29"/>
      <c r="B46" s="135" t="s">
        <v>148</v>
      </c>
      <c r="C46" s="136">
        <f t="shared" ref="C46:G46" si="11">C44*30%</f>
        <v>371439.68879999995</v>
      </c>
      <c r="D46" s="136">
        <f t="shared" si="11"/>
        <v>391771.6277999999</v>
      </c>
      <c r="E46" s="136">
        <f t="shared" si="11"/>
        <v>412231.18079999986</v>
      </c>
      <c r="F46" s="136">
        <f t="shared" si="11"/>
        <v>432713.17679999996</v>
      </c>
      <c r="G46" s="136">
        <f t="shared" si="11"/>
        <v>620202.61679999984</v>
      </c>
      <c r="H46" s="29"/>
    </row>
    <row r="47" spans="1:8" ht="15.75" customHeight="1" x14ac:dyDescent="0.2">
      <c r="A47" s="29"/>
      <c r="B47" s="150"/>
      <c r="C47" s="151"/>
      <c r="D47" s="152"/>
      <c r="E47" s="151"/>
      <c r="F47" s="151"/>
      <c r="G47" s="151"/>
      <c r="H47" s="29"/>
    </row>
    <row r="48" spans="1:8" ht="15.75" customHeight="1" x14ac:dyDescent="0.2">
      <c r="A48" s="29"/>
      <c r="B48" s="153" t="s">
        <v>149</v>
      </c>
      <c r="C48" s="154">
        <f t="shared" ref="C48:G48" si="12">C44-C46</f>
        <v>866692.60719999997</v>
      </c>
      <c r="D48" s="154">
        <f t="shared" si="12"/>
        <v>914133.79819999984</v>
      </c>
      <c r="E48" s="154">
        <f t="shared" si="12"/>
        <v>961872.75519999966</v>
      </c>
      <c r="F48" s="154">
        <f t="shared" si="12"/>
        <v>1009664.0791999998</v>
      </c>
      <c r="G48" s="154">
        <f t="shared" si="12"/>
        <v>1447139.4391999999</v>
      </c>
      <c r="H48" s="29"/>
    </row>
    <row r="49" spans="1:8" ht="15.75" customHeight="1" x14ac:dyDescent="0.2">
      <c r="A49" s="29"/>
      <c r="B49" s="29"/>
      <c r="C49" s="29"/>
      <c r="D49" s="29"/>
      <c r="E49" s="29"/>
      <c r="F49" s="29"/>
      <c r="G49" s="29"/>
      <c r="H49" s="29"/>
    </row>
    <row r="50" spans="1:8" ht="15.75" customHeight="1" x14ac:dyDescent="0.2"/>
    <row r="51" spans="1:8" ht="15.75" customHeight="1" x14ac:dyDescent="0.2"/>
    <row r="52" spans="1:8" ht="15.75" customHeight="1" x14ac:dyDescent="0.2"/>
    <row r="53" spans="1:8" ht="15.75" customHeight="1" x14ac:dyDescent="0.2"/>
    <row r="54" spans="1:8" ht="15.75" customHeight="1" x14ac:dyDescent="0.2"/>
    <row r="55" spans="1:8" ht="15.75" customHeight="1" x14ac:dyDescent="0.2"/>
    <row r="56" spans="1:8" ht="15.75" customHeight="1" x14ac:dyDescent="0.2"/>
    <row r="57" spans="1:8" ht="15.75" customHeight="1" x14ac:dyDescent="0.2"/>
    <row r="58" spans="1:8" ht="15.75" customHeight="1" x14ac:dyDescent="0.2"/>
    <row r="59" spans="1:8" ht="15.75" customHeight="1" x14ac:dyDescent="0.2"/>
    <row r="60" spans="1:8" ht="15.75" customHeight="1" x14ac:dyDescent="0.2"/>
    <row r="61" spans="1:8" ht="15.75" customHeight="1" x14ac:dyDescent="0.2"/>
    <row r="62" spans="1:8" ht="15.75" customHeight="1" x14ac:dyDescent="0.2"/>
    <row r="63" spans="1:8" ht="15.75" customHeight="1" x14ac:dyDescent="0.2"/>
    <row r="64" spans="1:8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B2:G2"/>
    <mergeCell ref="B28:G28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opLeftCell="C1" zoomScale="85" zoomScaleNormal="85" workbookViewId="0">
      <selection activeCell="M14" sqref="M14"/>
    </sheetView>
  </sheetViews>
  <sheetFormatPr baseColWidth="10" defaultColWidth="12.625" defaultRowHeight="15" customHeight="1" x14ac:dyDescent="0.2"/>
  <cols>
    <col min="1" max="1" width="9.375" customWidth="1"/>
    <col min="2" max="2" width="22.625" customWidth="1"/>
    <col min="3" max="4" width="22.625" style="195" customWidth="1"/>
    <col min="5" max="5" width="26.625" style="195" customWidth="1"/>
    <col min="6" max="6" width="24.875" customWidth="1"/>
    <col min="7" max="8" width="12.875" customWidth="1"/>
    <col min="9" max="9" width="12.625" customWidth="1"/>
    <col min="10" max="10" width="13.125" customWidth="1"/>
    <col min="11" max="11" width="13" customWidth="1"/>
    <col min="12" max="12" width="16.75" customWidth="1"/>
    <col min="13" max="13" width="17.5" customWidth="1"/>
  </cols>
  <sheetData>
    <row r="1" spans="1:13" ht="15" customHeight="1" x14ac:dyDescent="0.2">
      <c r="A1" s="29"/>
      <c r="B1" s="29"/>
      <c r="C1" s="254"/>
      <c r="D1" s="254"/>
      <c r="E1" s="254"/>
      <c r="M1" s="29"/>
    </row>
    <row r="2" spans="1:13" ht="31.5" x14ac:dyDescent="0.25">
      <c r="A2" s="29"/>
      <c r="B2" s="261"/>
      <c r="C2" s="262" t="s">
        <v>214</v>
      </c>
      <c r="D2" s="262" t="s">
        <v>215</v>
      </c>
      <c r="E2" s="262" t="s">
        <v>208</v>
      </c>
      <c r="F2" s="262" t="s">
        <v>216</v>
      </c>
      <c r="G2" s="263">
        <v>1</v>
      </c>
      <c r="H2" s="263">
        <v>2</v>
      </c>
      <c r="I2" s="263">
        <v>3</v>
      </c>
      <c r="J2" s="263">
        <v>4</v>
      </c>
      <c r="K2" s="263">
        <v>5</v>
      </c>
      <c r="L2" s="264" t="s">
        <v>153</v>
      </c>
      <c r="M2" s="262" t="s">
        <v>221</v>
      </c>
    </row>
    <row r="3" spans="1:13" ht="15.75" x14ac:dyDescent="0.25">
      <c r="A3" s="29"/>
      <c r="B3" s="265"/>
      <c r="C3" s="265"/>
      <c r="D3" s="265"/>
      <c r="E3" s="266"/>
      <c r="F3" s="266"/>
      <c r="G3" s="267"/>
      <c r="H3" s="266"/>
      <c r="I3" s="266"/>
      <c r="J3" s="266"/>
      <c r="K3" s="266"/>
      <c r="L3" s="266"/>
      <c r="M3" s="266"/>
    </row>
    <row r="4" spans="1:13" ht="15.75" x14ac:dyDescent="0.25">
      <c r="A4" s="29"/>
      <c r="B4" s="268" t="s">
        <v>154</v>
      </c>
      <c r="C4" s="268"/>
      <c r="D4" s="268"/>
      <c r="E4" s="269"/>
      <c r="F4" s="269"/>
      <c r="G4" s="270"/>
      <c r="H4" s="269"/>
      <c r="I4" s="269"/>
      <c r="J4" s="269"/>
      <c r="K4" s="269"/>
      <c r="L4" s="269"/>
      <c r="M4" s="269"/>
    </row>
    <row r="5" spans="1:13" x14ac:dyDescent="0.2">
      <c r="A5" s="29"/>
      <c r="B5" s="269" t="s">
        <v>155</v>
      </c>
      <c r="C5" s="274">
        <v>20090</v>
      </c>
      <c r="D5" s="278" t="s">
        <v>156</v>
      </c>
      <c r="E5" s="278">
        <v>0</v>
      </c>
      <c r="F5" s="278"/>
      <c r="G5" s="279" t="s">
        <v>156</v>
      </c>
      <c r="H5" s="278" t="s">
        <v>156</v>
      </c>
      <c r="I5" s="278" t="s">
        <v>156</v>
      </c>
      <c r="J5" s="278" t="s">
        <v>156</v>
      </c>
      <c r="K5" s="278" t="s">
        <v>156</v>
      </c>
      <c r="L5" s="280">
        <v>20090</v>
      </c>
      <c r="M5" s="280">
        <v>20090</v>
      </c>
    </row>
    <row r="6" spans="1:13" x14ac:dyDescent="0.2">
      <c r="A6" s="29"/>
      <c r="B6" s="269"/>
      <c r="C6" s="274"/>
      <c r="D6" s="274"/>
      <c r="E6" s="280"/>
      <c r="F6" s="280"/>
      <c r="G6" s="281"/>
      <c r="H6" s="280"/>
      <c r="I6" s="280"/>
      <c r="J6" s="280"/>
      <c r="K6" s="280"/>
      <c r="L6" s="280"/>
      <c r="M6" s="280"/>
    </row>
    <row r="7" spans="1:13" ht="31.5" x14ac:dyDescent="0.25">
      <c r="A7" s="29"/>
      <c r="B7" s="271" t="s">
        <v>157</v>
      </c>
      <c r="C7" s="275"/>
      <c r="D7" s="275"/>
      <c r="E7" s="282"/>
      <c r="F7" s="282"/>
      <c r="G7" s="283">
        <f>SUM(G9:G12)</f>
        <v>47457.373999999996</v>
      </c>
      <c r="H7" s="283">
        <f t="shared" ref="H7:L7" si="0">SUM(H9:H12)</f>
        <v>47457.373999999996</v>
      </c>
      <c r="I7" s="283">
        <f t="shared" si="0"/>
        <v>47457.373999999996</v>
      </c>
      <c r="J7" s="283">
        <f t="shared" si="0"/>
        <v>47457.373999999996</v>
      </c>
      <c r="K7" s="282">
        <f t="shared" si="0"/>
        <v>47457.373999999996</v>
      </c>
      <c r="L7" s="282">
        <f t="shared" si="0"/>
        <v>536935.13</v>
      </c>
      <c r="M7" s="282">
        <f>SUM(M9:M12)</f>
        <v>237286.87</v>
      </c>
    </row>
    <row r="8" spans="1:13" ht="15.75" x14ac:dyDescent="0.25">
      <c r="A8" s="29"/>
      <c r="B8" s="272"/>
      <c r="C8" s="276"/>
      <c r="D8" s="276"/>
      <c r="E8" s="284"/>
      <c r="F8" s="285"/>
      <c r="G8" s="286"/>
      <c r="H8" s="286"/>
      <c r="I8" s="286"/>
      <c r="J8" s="286"/>
      <c r="K8" s="287"/>
      <c r="L8" s="284"/>
      <c r="M8" s="284"/>
    </row>
    <row r="9" spans="1:13" x14ac:dyDescent="0.2">
      <c r="A9" s="29"/>
      <c r="B9" s="269" t="s">
        <v>158</v>
      </c>
      <c r="C9" s="274">
        <v>428450</v>
      </c>
      <c r="D9" s="278">
        <f>100/5</f>
        <v>20</v>
      </c>
      <c r="E9" s="278">
        <v>0.05</v>
      </c>
      <c r="F9" s="288">
        <f>+(C9-L9)/D9</f>
        <v>4538.6655000000001</v>
      </c>
      <c r="G9" s="289">
        <f>+$F$9*4</f>
        <v>18154.662</v>
      </c>
      <c r="H9" s="289">
        <f t="shared" ref="H9:K9" si="1">+$F$9*4</f>
        <v>18154.662</v>
      </c>
      <c r="I9" s="289">
        <f t="shared" si="1"/>
        <v>18154.662</v>
      </c>
      <c r="J9" s="289">
        <f t="shared" si="1"/>
        <v>18154.662</v>
      </c>
      <c r="K9" s="290">
        <f t="shared" si="1"/>
        <v>18154.662</v>
      </c>
      <c r="L9" s="280">
        <v>337676.69</v>
      </c>
      <c r="M9" s="280">
        <f>+F9*D9</f>
        <v>90773.31</v>
      </c>
    </row>
    <row r="10" spans="1:13" x14ac:dyDescent="0.2">
      <c r="A10" s="29"/>
      <c r="B10" s="269" t="s">
        <v>159</v>
      </c>
      <c r="C10" s="274">
        <v>170192</v>
      </c>
      <c r="D10" s="278">
        <f>100/10</f>
        <v>10</v>
      </c>
      <c r="E10" s="278">
        <v>0.1</v>
      </c>
      <c r="F10" s="288">
        <f t="shared" ref="F10:F16" si="2">+(C10-L10)/D10</f>
        <v>7211.5249999999996</v>
      </c>
      <c r="G10" s="289">
        <f>+$F$10*2</f>
        <v>14423.05</v>
      </c>
      <c r="H10" s="289">
        <f t="shared" ref="H10:K10" si="3">+$F$10*2</f>
        <v>14423.05</v>
      </c>
      <c r="I10" s="289">
        <f t="shared" si="3"/>
        <v>14423.05</v>
      </c>
      <c r="J10" s="289">
        <f t="shared" si="3"/>
        <v>14423.05</v>
      </c>
      <c r="K10" s="290">
        <f t="shared" si="3"/>
        <v>14423.05</v>
      </c>
      <c r="L10" s="280">
        <v>98076.75</v>
      </c>
      <c r="M10" s="280">
        <f t="shared" ref="M10:M12" si="4">+F10*D10</f>
        <v>72115.25</v>
      </c>
    </row>
    <row r="11" spans="1:13" x14ac:dyDescent="0.2">
      <c r="A11" s="29"/>
      <c r="B11" s="269" t="s">
        <v>160</v>
      </c>
      <c r="C11" s="274">
        <v>170000</v>
      </c>
      <c r="D11" s="278">
        <f t="shared" ref="D11:D12" si="5">100/10</f>
        <v>10</v>
      </c>
      <c r="E11" s="278">
        <v>0.1</v>
      </c>
      <c r="F11" s="288">
        <f t="shared" si="2"/>
        <v>7203.3899999999994</v>
      </c>
      <c r="G11" s="289">
        <f>$F$11*2</f>
        <v>14406.779999999999</v>
      </c>
      <c r="H11" s="289">
        <f t="shared" ref="H11:K11" si="6">$F$11*2</f>
        <v>14406.779999999999</v>
      </c>
      <c r="I11" s="289">
        <f t="shared" si="6"/>
        <v>14406.779999999999</v>
      </c>
      <c r="J11" s="289">
        <f t="shared" si="6"/>
        <v>14406.779999999999</v>
      </c>
      <c r="K11" s="289">
        <f t="shared" si="6"/>
        <v>14406.779999999999</v>
      </c>
      <c r="L11" s="280">
        <v>97966.1</v>
      </c>
      <c r="M11" s="280">
        <f t="shared" si="4"/>
        <v>72033.899999999994</v>
      </c>
    </row>
    <row r="12" spans="1:13" x14ac:dyDescent="0.2">
      <c r="A12" s="29"/>
      <c r="B12" s="269" t="s">
        <v>161</v>
      </c>
      <c r="C12" s="274">
        <v>5580</v>
      </c>
      <c r="D12" s="278">
        <f t="shared" si="5"/>
        <v>10</v>
      </c>
      <c r="E12" s="278">
        <v>0.1</v>
      </c>
      <c r="F12" s="288">
        <f t="shared" si="2"/>
        <v>236.44099999999997</v>
      </c>
      <c r="G12" s="289">
        <f>$F$12*2</f>
        <v>472.88199999999995</v>
      </c>
      <c r="H12" s="289">
        <f t="shared" ref="H12:K12" si="7">$F$12*2</f>
        <v>472.88199999999995</v>
      </c>
      <c r="I12" s="289">
        <f t="shared" si="7"/>
        <v>472.88199999999995</v>
      </c>
      <c r="J12" s="289">
        <f t="shared" si="7"/>
        <v>472.88199999999995</v>
      </c>
      <c r="K12" s="289">
        <f t="shared" si="7"/>
        <v>472.88199999999995</v>
      </c>
      <c r="L12" s="280">
        <v>3215.59</v>
      </c>
      <c r="M12" s="280">
        <f t="shared" si="4"/>
        <v>2364.41</v>
      </c>
    </row>
    <row r="13" spans="1:13" x14ac:dyDescent="0.2">
      <c r="A13" s="29"/>
      <c r="B13" s="269"/>
      <c r="C13" s="274"/>
      <c r="D13" s="278"/>
      <c r="E13" s="280"/>
      <c r="F13" s="288"/>
      <c r="G13" s="291"/>
      <c r="H13" s="291"/>
      <c r="I13" s="291"/>
      <c r="J13" s="291"/>
      <c r="K13" s="292"/>
      <c r="L13" s="280"/>
      <c r="M13" s="280"/>
    </row>
    <row r="14" spans="1:13" ht="15.75" x14ac:dyDescent="0.25">
      <c r="A14" s="29"/>
      <c r="B14" s="273" t="s">
        <v>162</v>
      </c>
      <c r="C14" s="277"/>
      <c r="D14" s="293"/>
      <c r="E14" s="294"/>
      <c r="F14" s="294"/>
      <c r="G14" s="295">
        <f t="shared" ref="G14:K14" si="8">SUM(G16)</f>
        <v>19230</v>
      </c>
      <c r="H14" s="295">
        <f t="shared" si="8"/>
        <v>19230</v>
      </c>
      <c r="I14" s="295">
        <f t="shared" si="8"/>
        <v>19230</v>
      </c>
      <c r="J14" s="295">
        <f t="shared" si="8"/>
        <v>19230</v>
      </c>
      <c r="K14" s="294">
        <f t="shared" si="8"/>
        <v>19230</v>
      </c>
      <c r="L14" s="296"/>
      <c r="M14" s="296"/>
    </row>
    <row r="15" spans="1:13" x14ac:dyDescent="0.2">
      <c r="A15" s="29"/>
      <c r="B15" s="269"/>
      <c r="C15" s="274"/>
      <c r="D15" s="278"/>
      <c r="E15" s="280"/>
      <c r="F15" s="278"/>
      <c r="G15" s="281"/>
      <c r="H15" s="280"/>
      <c r="I15" s="280"/>
      <c r="J15" s="280"/>
      <c r="K15" s="280"/>
      <c r="L15" s="280"/>
      <c r="M15" s="280"/>
    </row>
    <row r="16" spans="1:13" x14ac:dyDescent="0.2">
      <c r="A16" s="29"/>
      <c r="B16" s="269" t="s">
        <v>163</v>
      </c>
      <c r="C16" s="274">
        <v>96150</v>
      </c>
      <c r="D16" s="278">
        <f>100/20</f>
        <v>5</v>
      </c>
      <c r="E16" s="278">
        <v>0.2</v>
      </c>
      <c r="F16" s="278">
        <f t="shared" si="2"/>
        <v>19230</v>
      </c>
      <c r="G16" s="280">
        <f>+$F$16*1</f>
        <v>19230</v>
      </c>
      <c r="H16" s="280">
        <f t="shared" ref="H16:K16" si="9">+$F$16*1</f>
        <v>19230</v>
      </c>
      <c r="I16" s="280">
        <f t="shared" si="9"/>
        <v>19230</v>
      </c>
      <c r="J16" s="280">
        <f t="shared" si="9"/>
        <v>19230</v>
      </c>
      <c r="K16" s="280">
        <f t="shared" si="9"/>
        <v>19230</v>
      </c>
      <c r="L16" s="280"/>
      <c r="M16" s="280">
        <f>+F16*D16</f>
        <v>96150</v>
      </c>
    </row>
    <row r="17" spans="1:13" x14ac:dyDescent="0.2">
      <c r="A17" s="29"/>
      <c r="B17" s="269"/>
      <c r="C17" s="269"/>
      <c r="D17" s="280"/>
      <c r="E17" s="280"/>
      <c r="F17" s="280"/>
      <c r="G17" s="281"/>
      <c r="H17" s="280"/>
      <c r="I17" s="280"/>
      <c r="J17" s="280"/>
      <c r="K17" s="280"/>
      <c r="L17" s="280"/>
      <c r="M17" s="280"/>
    </row>
    <row r="18" spans="1:13" ht="15.75" x14ac:dyDescent="0.25">
      <c r="A18" s="29"/>
      <c r="B18" s="259" t="s">
        <v>164</v>
      </c>
      <c r="C18" s="259"/>
      <c r="D18" s="260"/>
      <c r="E18" s="260"/>
      <c r="F18" s="260"/>
      <c r="G18" s="260">
        <f>G7+G14</f>
        <v>66687.373999999996</v>
      </c>
      <c r="H18" s="260">
        <f t="shared" ref="H18:K18" si="10">H7+H14</f>
        <v>66687.373999999996</v>
      </c>
      <c r="I18" s="260">
        <f t="shared" si="10"/>
        <v>66687.373999999996</v>
      </c>
      <c r="J18" s="260">
        <f t="shared" si="10"/>
        <v>66687.373999999996</v>
      </c>
      <c r="K18" s="260">
        <f t="shared" si="10"/>
        <v>66687.373999999996</v>
      </c>
      <c r="L18" s="260">
        <f>L7+L14+L5</f>
        <v>557025.13</v>
      </c>
      <c r="M18" s="260">
        <f>M7+M14+M5</f>
        <v>257376.87</v>
      </c>
    </row>
    <row r="19" spans="1:13" ht="16.5" customHeight="1" x14ac:dyDescent="0.2">
      <c r="A19" s="29"/>
      <c r="B19" s="29"/>
      <c r="C19" s="254"/>
      <c r="D19" s="254"/>
      <c r="E19" s="254"/>
      <c r="F19" s="29"/>
      <c r="G19" s="29"/>
      <c r="H19" s="29"/>
      <c r="I19" s="29"/>
      <c r="J19" s="29"/>
      <c r="K19" s="29"/>
      <c r="L19" s="29"/>
      <c r="M19" s="29"/>
    </row>
    <row r="20" spans="1:13" ht="19.5" customHeight="1" x14ac:dyDescent="0.2">
      <c r="A20" s="212"/>
      <c r="B20" s="212"/>
      <c r="C20" s="212"/>
      <c r="D20" s="373" t="s">
        <v>218</v>
      </c>
      <c r="E20" s="258" t="s">
        <v>217</v>
      </c>
      <c r="F20" s="212"/>
      <c r="G20" s="255"/>
      <c r="H20" s="212"/>
      <c r="I20" s="212"/>
      <c r="J20" s="212"/>
      <c r="K20" s="212"/>
      <c r="L20" s="212"/>
      <c r="M20" s="212"/>
    </row>
    <row r="21" spans="1:13" ht="14.25" customHeight="1" x14ac:dyDescent="0.2">
      <c r="A21" s="256"/>
      <c r="B21" s="212"/>
      <c r="C21" s="212"/>
      <c r="D21" s="373"/>
      <c r="E21" s="257" t="s">
        <v>219</v>
      </c>
      <c r="F21" s="212"/>
      <c r="G21" s="212"/>
      <c r="H21" s="212"/>
      <c r="I21" s="212"/>
      <c r="J21" s="212"/>
      <c r="K21" s="212"/>
      <c r="L21" s="212"/>
      <c r="M21" s="212"/>
    </row>
    <row r="22" spans="1:13" ht="15.75" customHeight="1" x14ac:dyDescent="0.2"/>
    <row r="23" spans="1:13" ht="15.75" customHeight="1" x14ac:dyDescent="0.2">
      <c r="F23" s="251"/>
    </row>
    <row r="24" spans="1:13" ht="15.75" customHeight="1" x14ac:dyDescent="0.2"/>
    <row r="25" spans="1:13" ht="15.75" customHeight="1" x14ac:dyDescent="0.2">
      <c r="J25" s="252"/>
      <c r="K25" s="219"/>
    </row>
    <row r="26" spans="1:13" ht="15.75" customHeight="1" x14ac:dyDescent="0.2"/>
    <row r="27" spans="1:13" ht="15.75" customHeight="1" x14ac:dyDescent="0.2"/>
    <row r="28" spans="1:13" ht="15.75" customHeight="1" x14ac:dyDescent="0.2">
      <c r="K28" s="253"/>
    </row>
    <row r="29" spans="1:13" ht="15.75" customHeight="1" x14ac:dyDescent="0.2">
      <c r="J29" s="219"/>
    </row>
    <row r="30" spans="1:13" ht="15.75" customHeight="1" x14ac:dyDescent="0.2"/>
    <row r="31" spans="1:13" ht="15.75" customHeight="1" x14ac:dyDescent="0.2"/>
    <row r="32" spans="1:1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D20:D21"/>
  </mergeCells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zoomScale="160" zoomScaleNormal="160" workbookViewId="0">
      <selection activeCell="D7" sqref="D7"/>
    </sheetView>
  </sheetViews>
  <sheetFormatPr baseColWidth="10" defaultColWidth="12.625" defaultRowHeight="15" customHeight="1" x14ac:dyDescent="0.2"/>
  <cols>
    <col min="1" max="1" width="24.375" customWidth="1"/>
    <col min="2" max="2" width="14.75" customWidth="1"/>
    <col min="3" max="3" width="14.25" customWidth="1"/>
    <col min="4" max="4" width="15.25" customWidth="1"/>
    <col min="5" max="5" width="14.125" customWidth="1"/>
    <col min="6" max="6" width="17" customWidth="1"/>
  </cols>
  <sheetData>
    <row r="1" spans="1:6" x14ac:dyDescent="0.25">
      <c r="A1" s="157" t="s">
        <v>165</v>
      </c>
      <c r="B1" s="29"/>
      <c r="C1" s="29"/>
      <c r="D1" s="29"/>
      <c r="E1" s="29"/>
      <c r="F1" s="29"/>
    </row>
    <row r="2" spans="1:6" ht="14.25" x14ac:dyDescent="0.2">
      <c r="A2" s="29"/>
      <c r="B2" s="29"/>
      <c r="C2" s="29"/>
      <c r="D2" s="29"/>
      <c r="E2" s="29"/>
      <c r="F2" s="29"/>
    </row>
    <row r="3" spans="1:6" ht="14.25" x14ac:dyDescent="0.2">
      <c r="A3" s="29" t="s">
        <v>166</v>
      </c>
      <c r="B3" s="158">
        <v>543873.79</v>
      </c>
      <c r="C3" s="29"/>
      <c r="E3" s="29"/>
      <c r="F3" s="29"/>
    </row>
    <row r="4" spans="1:6" ht="14.25" x14ac:dyDescent="0.2">
      <c r="A4" s="29" t="s">
        <v>167</v>
      </c>
      <c r="B4" s="159">
        <v>0.2</v>
      </c>
      <c r="C4" s="29" t="s">
        <v>128</v>
      </c>
      <c r="D4" s="160"/>
      <c r="E4" s="29"/>
      <c r="F4" s="29"/>
    </row>
    <row r="5" spans="1:6" ht="14.25" x14ac:dyDescent="0.2">
      <c r="A5" s="29" t="s">
        <v>168</v>
      </c>
      <c r="B5" s="161">
        <v>5</v>
      </c>
      <c r="C5" s="29" t="s">
        <v>169</v>
      </c>
      <c r="D5" s="29"/>
      <c r="E5" s="29"/>
      <c r="F5" s="29"/>
    </row>
    <row r="6" spans="1:6" ht="14.25" x14ac:dyDescent="0.2">
      <c r="A6" s="29" t="s">
        <v>170</v>
      </c>
      <c r="B6" s="215" t="s">
        <v>209</v>
      </c>
      <c r="C6" s="29"/>
      <c r="D6" s="29"/>
      <c r="E6" s="29"/>
      <c r="F6" s="29"/>
    </row>
    <row r="7" spans="1:6" ht="14.25" x14ac:dyDescent="0.2">
      <c r="A7" s="29"/>
      <c r="B7" s="29"/>
      <c r="C7" s="29"/>
      <c r="D7" s="29"/>
      <c r="E7" s="29"/>
      <c r="F7" s="29"/>
    </row>
    <row r="8" spans="1:6" x14ac:dyDescent="0.25">
      <c r="A8" s="162" t="s">
        <v>171</v>
      </c>
      <c r="B8" s="29"/>
      <c r="C8" s="29"/>
      <c r="D8" s="29"/>
      <c r="E8" s="29"/>
      <c r="F8" s="29"/>
    </row>
    <row r="9" spans="1:6" x14ac:dyDescent="0.25">
      <c r="A9" s="162" t="s">
        <v>172</v>
      </c>
      <c r="B9" s="163">
        <f>PMT(B4,B5,-B3)</f>
        <v>181860.35652719846</v>
      </c>
      <c r="C9" s="216">
        <f>+(B3)*(((1+B4)^B5)*B4)/(((1+B4)^B5)-1)</f>
        <v>181860.35652719846</v>
      </c>
      <c r="D9" s="164"/>
      <c r="E9" s="164"/>
      <c r="F9" s="29"/>
    </row>
    <row r="10" spans="1:6" ht="14.25" x14ac:dyDescent="0.2">
      <c r="A10" s="29"/>
      <c r="B10" s="29"/>
      <c r="C10" s="29"/>
      <c r="D10" s="29"/>
      <c r="E10" s="29"/>
      <c r="F10" s="29"/>
    </row>
    <row r="11" spans="1:6" ht="14.25" x14ac:dyDescent="0.2">
      <c r="A11" s="29"/>
      <c r="B11" s="29"/>
      <c r="C11" s="29"/>
      <c r="D11" s="29"/>
      <c r="E11" s="29"/>
      <c r="F11" s="29"/>
    </row>
    <row r="12" spans="1:6" x14ac:dyDescent="0.25">
      <c r="A12" s="165" t="s">
        <v>173</v>
      </c>
      <c r="B12" s="165" t="s">
        <v>172</v>
      </c>
      <c r="C12" s="165" t="s">
        <v>174</v>
      </c>
      <c r="D12" s="165" t="s">
        <v>175</v>
      </c>
      <c r="E12" s="165" t="s">
        <v>176</v>
      </c>
      <c r="F12" s="165" t="s">
        <v>177</v>
      </c>
    </row>
    <row r="13" spans="1:6" ht="14.25" x14ac:dyDescent="0.2">
      <c r="A13" s="130">
        <v>0</v>
      </c>
      <c r="B13" s="166">
        <f>0</f>
        <v>0</v>
      </c>
      <c r="C13" s="166">
        <f>0</f>
        <v>0</v>
      </c>
      <c r="D13" s="166">
        <f>0</f>
        <v>0</v>
      </c>
      <c r="E13" s="166">
        <f>+B3</f>
        <v>543873.79</v>
      </c>
      <c r="F13" s="166">
        <f t="shared" ref="F13" si="0">+C3</f>
        <v>0</v>
      </c>
    </row>
    <row r="14" spans="1:6" ht="14.25" x14ac:dyDescent="0.2">
      <c r="A14" s="130">
        <v>1</v>
      </c>
      <c r="B14" s="167">
        <f t="shared" ref="B14:B18" si="1">+$B$9</f>
        <v>181860.35652719846</v>
      </c>
      <c r="C14" s="167">
        <f>+E13*$B$4</f>
        <v>108774.75800000002</v>
      </c>
      <c r="D14" s="167">
        <f t="shared" ref="D14:D18" si="2">+B14-C14</f>
        <v>73085.598527198439</v>
      </c>
      <c r="E14" s="166">
        <f t="shared" ref="E14:E18" si="3">+E13-D14</f>
        <v>470788.19147280161</v>
      </c>
      <c r="F14" s="166">
        <f>C14*30%</f>
        <v>32632.427400000004</v>
      </c>
    </row>
    <row r="15" spans="1:6" ht="14.25" x14ac:dyDescent="0.2">
      <c r="A15" s="130">
        <v>2</v>
      </c>
      <c r="B15" s="167">
        <f t="shared" si="1"/>
        <v>181860.35652719846</v>
      </c>
      <c r="C15" s="167">
        <f t="shared" ref="C15:C18" si="4">+E14*$B$4</f>
        <v>94157.638294560325</v>
      </c>
      <c r="D15" s="167">
        <f t="shared" si="2"/>
        <v>87702.71823263813</v>
      </c>
      <c r="E15" s="166">
        <f t="shared" si="3"/>
        <v>383085.47324016347</v>
      </c>
      <c r="F15" s="166">
        <f t="shared" ref="F15:F18" si="5">C15*30%</f>
        <v>28247.291488368097</v>
      </c>
    </row>
    <row r="16" spans="1:6" ht="14.25" x14ac:dyDescent="0.2">
      <c r="A16" s="130">
        <v>3</v>
      </c>
      <c r="B16" s="167">
        <f t="shared" si="1"/>
        <v>181860.35652719846</v>
      </c>
      <c r="C16" s="167">
        <f t="shared" si="4"/>
        <v>76617.094648032697</v>
      </c>
      <c r="D16" s="167">
        <f t="shared" si="2"/>
        <v>105243.26187916576</v>
      </c>
      <c r="E16" s="166">
        <f t="shared" si="3"/>
        <v>277842.2113609977</v>
      </c>
      <c r="F16" s="166">
        <f t="shared" si="5"/>
        <v>22985.128394409807</v>
      </c>
    </row>
    <row r="17" spans="1:6" ht="14.25" x14ac:dyDescent="0.2">
      <c r="A17" s="130">
        <v>4</v>
      </c>
      <c r="B17" s="167">
        <f t="shared" si="1"/>
        <v>181860.35652719846</v>
      </c>
      <c r="C17" s="167">
        <f t="shared" si="4"/>
        <v>55568.442272199543</v>
      </c>
      <c r="D17" s="167">
        <f t="shared" si="2"/>
        <v>126291.9142549989</v>
      </c>
      <c r="E17" s="166">
        <f t="shared" si="3"/>
        <v>151550.29710599879</v>
      </c>
      <c r="F17" s="166">
        <f t="shared" si="5"/>
        <v>16670.532681659861</v>
      </c>
    </row>
    <row r="18" spans="1:6" ht="14.25" x14ac:dyDescent="0.2">
      <c r="A18" s="130">
        <v>5</v>
      </c>
      <c r="B18" s="167">
        <f t="shared" si="1"/>
        <v>181860.35652719846</v>
      </c>
      <c r="C18" s="167">
        <f t="shared" si="4"/>
        <v>30310.05942119976</v>
      </c>
      <c r="D18" s="167">
        <f t="shared" si="2"/>
        <v>151550.2971059987</v>
      </c>
      <c r="E18" s="166">
        <f t="shared" si="3"/>
        <v>0</v>
      </c>
      <c r="F18" s="166">
        <f t="shared" si="5"/>
        <v>9093.0178263599282</v>
      </c>
    </row>
    <row r="20" spans="1:6" x14ac:dyDescent="0.25">
      <c r="A20" s="62"/>
    </row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"/>
  <sheetViews>
    <sheetView zoomScale="130" zoomScaleNormal="130" workbookViewId="0">
      <selection activeCell="E29" sqref="E29"/>
    </sheetView>
  </sheetViews>
  <sheetFormatPr baseColWidth="10" defaultColWidth="12.625" defaultRowHeight="15" customHeight="1" x14ac:dyDescent="0.2"/>
  <cols>
    <col min="1" max="1" width="9.375" customWidth="1"/>
    <col min="2" max="2" width="11.625" customWidth="1"/>
    <col min="3" max="11" width="9.375" customWidth="1"/>
    <col min="13" max="15" width="1.875" bestFit="1" customWidth="1"/>
    <col min="16" max="16" width="1.875" customWidth="1"/>
    <col min="17" max="17" width="2.875" bestFit="1" customWidth="1"/>
    <col min="18" max="18" width="3" bestFit="1" customWidth="1"/>
  </cols>
  <sheetData>
    <row r="1" spans="1:19" ht="18.75" customHeight="1" x14ac:dyDescent="0.3">
      <c r="A1" s="40"/>
      <c r="B1" s="378" t="s">
        <v>178</v>
      </c>
      <c r="C1" s="370"/>
      <c r="D1" s="370"/>
      <c r="E1" s="370"/>
      <c r="F1" s="370"/>
      <c r="G1" s="370"/>
      <c r="H1" s="371"/>
      <c r="I1" s="40"/>
      <c r="J1" s="40"/>
      <c r="K1" s="40"/>
    </row>
    <row r="2" spans="1:19" ht="15.75" x14ac:dyDescent="0.25">
      <c r="A2" s="40"/>
      <c r="B2" s="379" t="s">
        <v>179</v>
      </c>
      <c r="C2" s="379"/>
      <c r="D2" s="379"/>
      <c r="E2" s="379"/>
      <c r="F2" s="40"/>
      <c r="G2" s="40"/>
      <c r="H2" s="40"/>
      <c r="I2" s="40"/>
      <c r="J2" s="40"/>
      <c r="K2" s="40"/>
    </row>
    <row r="3" spans="1:19" x14ac:dyDescent="0.25">
      <c r="A3" s="40"/>
      <c r="B3" s="169" t="s">
        <v>180</v>
      </c>
      <c r="C3" s="169">
        <v>0</v>
      </c>
      <c r="D3" s="169">
        <v>1</v>
      </c>
      <c r="E3" s="169">
        <v>2</v>
      </c>
      <c r="F3" s="169">
        <v>3</v>
      </c>
      <c r="G3" s="169">
        <v>4</v>
      </c>
      <c r="H3" s="169">
        <v>5</v>
      </c>
      <c r="I3" s="169">
        <v>6</v>
      </c>
      <c r="J3" s="169">
        <v>7</v>
      </c>
      <c r="K3" s="169">
        <v>8</v>
      </c>
    </row>
    <row r="4" spans="1:19" x14ac:dyDescent="0.25">
      <c r="A4" s="40"/>
      <c r="B4" s="218" t="s">
        <v>181</v>
      </c>
      <c r="C4" s="170">
        <f>FC!B52</f>
        <v>-1409422.7500000002</v>
      </c>
      <c r="D4" s="171">
        <f>FC!C52</f>
        <v>913251.29169999994</v>
      </c>
      <c r="E4" s="171">
        <f>FC!D52</f>
        <v>959686.04822499957</v>
      </c>
      <c r="F4" s="171">
        <f>FC!E52</f>
        <v>1006368.2490262492</v>
      </c>
      <c r="G4" s="171">
        <f>FC!F52</f>
        <v>1053049.9790175632</v>
      </c>
      <c r="H4" s="171">
        <f>FC!G52</f>
        <v>2048307.7753084404</v>
      </c>
      <c r="I4" s="172"/>
      <c r="J4" s="172"/>
      <c r="K4" s="172"/>
    </row>
    <row r="5" spans="1:19" x14ac:dyDescent="0.25">
      <c r="A5" s="40"/>
      <c r="B5" s="218" t="s">
        <v>176</v>
      </c>
      <c r="C5" s="172"/>
      <c r="D5" s="217">
        <f>+D4+C4</f>
        <v>-496171.45830000029</v>
      </c>
      <c r="E5" s="172">
        <f>+E4+D4+C4</f>
        <v>463514.58992499928</v>
      </c>
      <c r="F5" s="172"/>
      <c r="G5" s="172"/>
      <c r="H5" s="172"/>
      <c r="I5" s="172"/>
      <c r="J5" s="172"/>
      <c r="K5" s="172"/>
    </row>
    <row r="6" spans="1:19" x14ac:dyDescent="0.25">
      <c r="A6" s="40"/>
      <c r="B6" s="173"/>
      <c r="C6" s="174"/>
      <c r="D6" s="175" t="s">
        <v>182</v>
      </c>
      <c r="E6" s="175" t="s">
        <v>183</v>
      </c>
      <c r="F6" s="175"/>
      <c r="G6" s="175"/>
      <c r="H6" s="175"/>
      <c r="I6" s="175"/>
      <c r="J6" s="175"/>
      <c r="K6" s="175"/>
    </row>
    <row r="7" spans="1:19" x14ac:dyDescent="0.25">
      <c r="A7" s="40"/>
      <c r="B7" s="40"/>
      <c r="C7" s="40"/>
      <c r="D7" s="40"/>
      <c r="E7" s="40"/>
      <c r="F7" s="40"/>
      <c r="G7" s="40"/>
      <c r="H7" s="40"/>
      <c r="I7" s="212"/>
      <c r="J7" s="212"/>
      <c r="K7" s="212"/>
    </row>
    <row r="8" spans="1:19" x14ac:dyDescent="0.25">
      <c r="A8" s="40"/>
      <c r="B8" s="168" t="s">
        <v>184</v>
      </c>
      <c r="C8" s="172">
        <f>-D5</f>
        <v>496171.45830000029</v>
      </c>
      <c r="D8" s="40"/>
      <c r="E8" s="176">
        <v>1</v>
      </c>
      <c r="F8" s="374">
        <f>+C11-E8</f>
        <v>0.51701434986754369</v>
      </c>
      <c r="G8" s="375"/>
      <c r="H8" s="40"/>
      <c r="I8" s="212"/>
      <c r="J8" s="212"/>
      <c r="K8" s="212"/>
      <c r="M8" s="219"/>
      <c r="N8" s="219"/>
      <c r="O8" s="219"/>
      <c r="P8" s="219"/>
      <c r="Q8" s="220"/>
      <c r="R8" s="220"/>
      <c r="S8" s="220"/>
    </row>
    <row r="9" spans="1:19" x14ac:dyDescent="0.25">
      <c r="A9" s="40"/>
      <c r="B9" s="168" t="s">
        <v>185</v>
      </c>
      <c r="C9" s="172">
        <f>E4</f>
        <v>959686.04822499957</v>
      </c>
      <c r="D9" s="40"/>
      <c r="E9" s="176" t="s">
        <v>186</v>
      </c>
      <c r="F9" s="374">
        <f>+F8*12</f>
        <v>6.2041721984105243</v>
      </c>
      <c r="G9" s="375"/>
      <c r="H9" s="40"/>
      <c r="I9" s="212"/>
      <c r="J9" s="212"/>
      <c r="K9" s="212"/>
      <c r="P9" s="219"/>
    </row>
    <row r="10" spans="1:19" x14ac:dyDescent="0.25">
      <c r="A10" s="40"/>
      <c r="B10" s="168" t="s">
        <v>187</v>
      </c>
      <c r="C10" s="177">
        <f>C8/C9</f>
        <v>0.51701434986754369</v>
      </c>
      <c r="D10" s="40"/>
      <c r="E10" s="176">
        <v>6</v>
      </c>
      <c r="F10" s="374">
        <f>+F9-E10</f>
        <v>0.20417219841052425</v>
      </c>
      <c r="G10" s="375"/>
      <c r="H10" s="40"/>
      <c r="I10" s="212"/>
      <c r="J10" s="212"/>
      <c r="K10" s="212"/>
    </row>
    <row r="11" spans="1:19" x14ac:dyDescent="0.25">
      <c r="A11" s="40"/>
      <c r="B11" s="168" t="s">
        <v>188</v>
      </c>
      <c r="C11" s="178">
        <f>D3+C10</f>
        <v>1.5170143498675437</v>
      </c>
      <c r="D11" s="40"/>
      <c r="E11" s="176" t="s">
        <v>189</v>
      </c>
      <c r="F11" s="376">
        <f>+F10*30</f>
        <v>6.1251659523157276</v>
      </c>
      <c r="G11" s="375"/>
      <c r="H11" s="40"/>
      <c r="I11" s="212"/>
      <c r="J11" s="212"/>
      <c r="K11" s="212"/>
    </row>
    <row r="12" spans="1:19" x14ac:dyDescent="0.25">
      <c r="A12" s="40"/>
      <c r="B12" s="40"/>
      <c r="C12" s="40"/>
      <c r="D12" s="40"/>
      <c r="E12" s="377" t="s">
        <v>190</v>
      </c>
      <c r="F12" s="356"/>
      <c r="G12" s="375"/>
      <c r="H12" s="40"/>
      <c r="I12" s="212"/>
      <c r="J12" s="212"/>
      <c r="K12" s="212"/>
    </row>
    <row r="13" spans="1:19" x14ac:dyDescent="0.25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</row>
    <row r="14" spans="1:19" ht="15.75" x14ac:dyDescent="0.25">
      <c r="A14" s="40"/>
      <c r="B14" s="379" t="s">
        <v>191</v>
      </c>
      <c r="C14" s="379"/>
      <c r="D14" s="379"/>
      <c r="E14" s="379"/>
      <c r="F14" s="40"/>
      <c r="G14" s="40"/>
      <c r="H14" s="40"/>
      <c r="I14" s="40"/>
      <c r="J14" s="40"/>
      <c r="K14" s="40"/>
    </row>
    <row r="15" spans="1:19" x14ac:dyDescent="0.25">
      <c r="A15" s="40"/>
      <c r="B15" s="169" t="s">
        <v>180</v>
      </c>
      <c r="C15" s="169">
        <v>0</v>
      </c>
      <c r="D15" s="169">
        <v>1</v>
      </c>
      <c r="E15" s="169">
        <v>2</v>
      </c>
      <c r="F15" s="169">
        <v>3</v>
      </c>
      <c r="G15" s="169">
        <v>4</v>
      </c>
      <c r="H15" s="169">
        <v>5</v>
      </c>
      <c r="I15" s="169">
        <v>6</v>
      </c>
      <c r="J15" s="169">
        <v>7</v>
      </c>
      <c r="K15" s="169">
        <v>8</v>
      </c>
    </row>
    <row r="16" spans="1:19" x14ac:dyDescent="0.25">
      <c r="A16" s="40"/>
      <c r="B16" s="218" t="s">
        <v>181</v>
      </c>
      <c r="C16" s="170">
        <f>+FC!B53</f>
        <v>-865548.9600000002</v>
      </c>
      <c r="D16" s="179">
        <f>+FC!C53</f>
        <v>763773.36257280153</v>
      </c>
      <c r="E16" s="179">
        <f>+FC!D53</f>
        <v>805822.98318616918</v>
      </c>
      <c r="F16" s="179">
        <f>+FC!E53</f>
        <v>847243.02089346049</v>
      </c>
      <c r="G16" s="179">
        <f>+FC!F53</f>
        <v>887610.15517202462</v>
      </c>
      <c r="H16" s="179">
        <f>+FC!G53</f>
        <v>1875290.4366076018</v>
      </c>
      <c r="I16" s="172"/>
      <c r="J16" s="172"/>
      <c r="K16" s="172"/>
    </row>
    <row r="17" spans="1:11" x14ac:dyDescent="0.25">
      <c r="A17" s="40"/>
      <c r="B17" s="218" t="s">
        <v>176</v>
      </c>
      <c r="C17" s="172"/>
      <c r="D17" s="217">
        <f>+D16+C16</f>
        <v>-101775.59742719866</v>
      </c>
      <c r="E17" s="172">
        <f>+E16+D16+C16</f>
        <v>704047.38575897063</v>
      </c>
      <c r="F17" s="172"/>
      <c r="G17" s="172"/>
      <c r="H17" s="172"/>
      <c r="I17" s="172"/>
      <c r="J17" s="172"/>
      <c r="K17" s="172"/>
    </row>
    <row r="18" spans="1:11" x14ac:dyDescent="0.25">
      <c r="A18" s="40"/>
      <c r="B18" s="173"/>
      <c r="C18" s="174"/>
      <c r="D18" s="175" t="s">
        <v>182</v>
      </c>
      <c r="E18" s="175" t="s">
        <v>183</v>
      </c>
      <c r="F18" s="175"/>
      <c r="G18" s="175"/>
      <c r="H18" s="175"/>
      <c r="I18" s="175"/>
      <c r="J18" s="175"/>
      <c r="K18" s="175"/>
    </row>
    <row r="19" spans="1:11" x14ac:dyDescent="0.25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</row>
    <row r="20" spans="1:11" x14ac:dyDescent="0.25">
      <c r="A20" s="40"/>
      <c r="B20" s="168" t="s">
        <v>184</v>
      </c>
      <c r="C20" s="172">
        <f>-D17</f>
        <v>101775.59742719866</v>
      </c>
      <c r="D20" s="40"/>
      <c r="E20" s="176">
        <v>1</v>
      </c>
      <c r="F20" s="374">
        <f>+C23-E20</f>
        <v>0.12630019191657316</v>
      </c>
      <c r="G20" s="375"/>
      <c r="H20" s="40"/>
      <c r="I20" s="40"/>
      <c r="J20" s="180"/>
      <c r="K20" s="40"/>
    </row>
    <row r="21" spans="1:11" ht="15.75" customHeight="1" x14ac:dyDescent="0.25">
      <c r="A21" s="40"/>
      <c r="B21" s="168" t="s">
        <v>185</v>
      </c>
      <c r="C21" s="172">
        <f>+E16</f>
        <v>805822.98318616918</v>
      </c>
      <c r="D21" s="40"/>
      <c r="E21" s="176" t="s">
        <v>186</v>
      </c>
      <c r="F21" s="374">
        <f>+F20*12</f>
        <v>1.5156023029988779</v>
      </c>
      <c r="G21" s="375"/>
      <c r="H21" s="40"/>
      <c r="I21" s="40"/>
      <c r="J21" s="40"/>
      <c r="K21" s="40"/>
    </row>
    <row r="22" spans="1:11" ht="15.75" customHeight="1" x14ac:dyDescent="0.25">
      <c r="A22" s="40"/>
      <c r="B22" s="168" t="s">
        <v>187</v>
      </c>
      <c r="C22" s="177">
        <f>C20/C21</f>
        <v>0.12630019191657316</v>
      </c>
      <c r="D22" s="40"/>
      <c r="E22" s="176">
        <v>1</v>
      </c>
      <c r="F22" s="374">
        <f>+F21-E22</f>
        <v>0.51560230299887788</v>
      </c>
      <c r="G22" s="375"/>
      <c r="H22" s="40"/>
      <c r="I22" s="40"/>
      <c r="J22" s="40"/>
      <c r="K22" s="40"/>
    </row>
    <row r="23" spans="1:11" ht="15.75" customHeight="1" x14ac:dyDescent="0.25">
      <c r="A23" s="40"/>
      <c r="B23" s="168" t="s">
        <v>188</v>
      </c>
      <c r="C23" s="178">
        <f>D15+C22</f>
        <v>1.1263001919165732</v>
      </c>
      <c r="D23" s="40"/>
      <c r="E23" s="176" t="s">
        <v>189</v>
      </c>
      <c r="F23" s="376">
        <f>+F22*30</f>
        <v>15.468069089966336</v>
      </c>
      <c r="G23" s="375"/>
      <c r="H23" s="40"/>
      <c r="I23" s="40"/>
      <c r="J23" s="40"/>
      <c r="K23" s="40"/>
    </row>
    <row r="24" spans="1:11" ht="15.75" customHeight="1" x14ac:dyDescent="0.25">
      <c r="A24" s="40"/>
      <c r="B24" s="40"/>
      <c r="C24" s="40"/>
      <c r="D24" s="40"/>
      <c r="E24" s="377" t="s">
        <v>192</v>
      </c>
      <c r="F24" s="356"/>
      <c r="G24" s="375"/>
      <c r="H24" s="40"/>
      <c r="I24" s="40"/>
      <c r="J24" s="40"/>
      <c r="K24" s="40"/>
    </row>
    <row r="25" spans="1:11" ht="15.75" customHeight="1" x14ac:dyDescent="0.2"/>
    <row r="26" spans="1:11" ht="15.75" customHeight="1" x14ac:dyDescent="0.2"/>
    <row r="27" spans="1:11" ht="15.75" customHeight="1" x14ac:dyDescent="0.2"/>
    <row r="28" spans="1:11" ht="15.75" customHeight="1" x14ac:dyDescent="0.2"/>
    <row r="29" spans="1:11" ht="15.75" customHeight="1" x14ac:dyDescent="0.2"/>
    <row r="30" spans="1:11" ht="15.75" customHeight="1" x14ac:dyDescent="0.2"/>
    <row r="31" spans="1:11" ht="15.75" customHeight="1" x14ac:dyDescent="0.2"/>
    <row r="32" spans="1:1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3">
    <mergeCell ref="F21:G21"/>
    <mergeCell ref="F22:G22"/>
    <mergeCell ref="F23:G23"/>
    <mergeCell ref="E24:G24"/>
    <mergeCell ref="B1:H1"/>
    <mergeCell ref="F8:G8"/>
    <mergeCell ref="F9:G9"/>
    <mergeCell ref="F10:G10"/>
    <mergeCell ref="F11:G11"/>
    <mergeCell ref="E12:G12"/>
    <mergeCell ref="F20:G20"/>
    <mergeCell ref="B2:E2"/>
    <mergeCell ref="B14:E14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00"/>
  <sheetViews>
    <sheetView zoomScale="160" zoomScaleNormal="160" workbookViewId="0">
      <selection activeCell="B18" sqref="B18:I18"/>
    </sheetView>
  </sheetViews>
  <sheetFormatPr baseColWidth="10" defaultColWidth="12.625" defaultRowHeight="15" customHeight="1" x14ac:dyDescent="0.2"/>
  <cols>
    <col min="1" max="3" width="10.625" customWidth="1"/>
    <col min="4" max="4" width="12.875" customWidth="1"/>
    <col min="5" max="5" width="2.5" customWidth="1"/>
    <col min="6" max="6" width="20.25" customWidth="1"/>
    <col min="7" max="7" width="10.625" customWidth="1"/>
    <col min="8" max="8" width="12.625" customWidth="1"/>
    <col min="9" max="9" width="4.375" customWidth="1"/>
    <col min="10" max="26" width="10.625" customWidth="1"/>
  </cols>
  <sheetData>
    <row r="1" spans="2:9" ht="14.25" customHeight="1" x14ac:dyDescent="0.2"/>
    <row r="2" spans="2:9" ht="14.25" customHeight="1" x14ac:dyDescent="0.25">
      <c r="B2" s="381" t="s">
        <v>193</v>
      </c>
      <c r="C2" s="331"/>
      <c r="D2" s="331"/>
      <c r="E2" s="331"/>
      <c r="F2" s="331"/>
      <c r="G2" s="331"/>
      <c r="H2" s="331"/>
      <c r="I2" s="331"/>
    </row>
    <row r="3" spans="2:9" ht="14.25" customHeight="1" x14ac:dyDescent="0.2"/>
    <row r="4" spans="2:9" ht="14.25" customHeight="1" x14ac:dyDescent="0.2"/>
    <row r="5" spans="2:9" ht="18.75" customHeight="1" x14ac:dyDescent="0.25">
      <c r="B5" s="382" t="s">
        <v>116</v>
      </c>
      <c r="C5" s="375"/>
      <c r="D5" s="182">
        <f>FC!B57</f>
        <v>2133782.8056386197</v>
      </c>
      <c r="E5" s="183" t="s">
        <v>194</v>
      </c>
      <c r="F5" s="184">
        <v>0</v>
      </c>
      <c r="G5" s="383" t="s">
        <v>195</v>
      </c>
      <c r="H5" s="331"/>
      <c r="I5" s="331"/>
    </row>
    <row r="6" spans="2:9" ht="20.25" customHeight="1" x14ac:dyDescent="0.25">
      <c r="B6" s="387" t="s">
        <v>196</v>
      </c>
      <c r="C6" s="375"/>
      <c r="D6" s="187">
        <f>FC!B58</f>
        <v>0.66519626146315103</v>
      </c>
      <c r="E6" s="183" t="s">
        <v>194</v>
      </c>
      <c r="F6" s="188">
        <f>FC!$B$47</f>
        <v>0.2</v>
      </c>
      <c r="G6" s="383" t="s">
        <v>195</v>
      </c>
      <c r="H6" s="331"/>
      <c r="I6" s="331"/>
    </row>
    <row r="7" spans="2:9" ht="14.25" customHeight="1" x14ac:dyDescent="0.25">
      <c r="B7" s="388" t="s">
        <v>198</v>
      </c>
      <c r="C7" s="375"/>
      <c r="D7" s="190">
        <f>FC!B59</f>
        <v>2.5139409418775305</v>
      </c>
      <c r="E7" s="183" t="s">
        <v>194</v>
      </c>
      <c r="F7" s="191">
        <v>1</v>
      </c>
      <c r="G7" s="383" t="s">
        <v>195</v>
      </c>
      <c r="H7" s="331"/>
      <c r="I7" s="331"/>
    </row>
    <row r="8" spans="2:9" ht="14.25" customHeight="1" x14ac:dyDescent="0.25">
      <c r="B8" s="389" t="s">
        <v>200</v>
      </c>
      <c r="C8" s="375"/>
      <c r="D8" s="194">
        <f>FC!B60</f>
        <v>1.5170143498675437</v>
      </c>
      <c r="E8" s="183" t="s">
        <v>201</v>
      </c>
      <c r="F8" s="221" t="str">
        <f>'Periodo de Recupero'!E12</f>
        <v xml:space="preserve"> 1 año, 6 meses y 6,1 dias</v>
      </c>
    </row>
    <row r="9" spans="2:9" ht="14.25" customHeight="1" x14ac:dyDescent="0.2"/>
    <row r="10" spans="2:9" ht="14.25" customHeight="1" x14ac:dyDescent="0.25">
      <c r="B10" s="386" t="s">
        <v>120</v>
      </c>
      <c r="C10" s="375"/>
      <c r="D10" s="185">
        <f>FC!B62</f>
        <v>2002520.7145102222</v>
      </c>
      <c r="E10" s="183" t="s">
        <v>194</v>
      </c>
      <c r="F10" s="184">
        <v>0</v>
      </c>
      <c r="G10" s="383" t="s">
        <v>195</v>
      </c>
      <c r="H10" s="331"/>
      <c r="I10" s="331"/>
    </row>
    <row r="11" spans="2:9" ht="14.25" customHeight="1" x14ac:dyDescent="0.25">
      <c r="B11" s="387" t="s">
        <v>197</v>
      </c>
      <c r="C11" s="375"/>
      <c r="D11" s="187">
        <f>FC!B63</f>
        <v>0.92825065466751511</v>
      </c>
      <c r="E11" s="183" t="s">
        <v>194</v>
      </c>
      <c r="F11" s="188">
        <f>FC!$B$47</f>
        <v>0.2</v>
      </c>
      <c r="G11" s="383" t="s">
        <v>195</v>
      </c>
      <c r="H11" s="331"/>
      <c r="I11" s="331"/>
    </row>
    <row r="12" spans="2:9" ht="14.25" customHeight="1" x14ac:dyDescent="0.25">
      <c r="B12" s="388" t="s">
        <v>199</v>
      </c>
      <c r="C12" s="375"/>
      <c r="D12" s="192">
        <f>FC!B64</f>
        <v>3.3135845654649296</v>
      </c>
      <c r="E12" s="183" t="s">
        <v>194</v>
      </c>
      <c r="F12" s="191">
        <v>1</v>
      </c>
      <c r="G12" s="383" t="s">
        <v>195</v>
      </c>
      <c r="H12" s="331"/>
      <c r="I12" s="331"/>
    </row>
    <row r="13" spans="2:9" ht="14.25" customHeight="1" x14ac:dyDescent="0.25">
      <c r="B13" s="389" t="s">
        <v>202</v>
      </c>
      <c r="C13" s="375"/>
      <c r="D13" s="194">
        <f>FC!B65</f>
        <v>1.1263001919165732</v>
      </c>
      <c r="E13" s="183" t="s">
        <v>201</v>
      </c>
      <c r="F13" s="221" t="str">
        <f>'Periodo de Recupero'!E24</f>
        <v xml:space="preserve"> 1 años, 1 mes y 15.5 dias </v>
      </c>
    </row>
    <row r="14" spans="2:9" ht="14.25" customHeight="1" x14ac:dyDescent="0.2"/>
    <row r="15" spans="2:9" ht="14.25" customHeight="1" x14ac:dyDescent="0.2"/>
    <row r="16" spans="2:9" ht="14.25" customHeight="1" x14ac:dyDescent="0.25">
      <c r="B16" s="384" t="s">
        <v>203</v>
      </c>
      <c r="C16" s="385"/>
      <c r="D16" s="385"/>
      <c r="E16" s="385"/>
      <c r="F16" s="385"/>
      <c r="G16" s="385"/>
      <c r="H16" s="385"/>
      <c r="I16" s="385"/>
    </row>
    <row r="17" spans="2:9" ht="14.25" customHeight="1" x14ac:dyDescent="0.2"/>
    <row r="18" spans="2:9" ht="14.25" customHeight="1" x14ac:dyDescent="0.2">
      <c r="B18" s="380" t="s">
        <v>220</v>
      </c>
      <c r="C18" s="380"/>
      <c r="D18" s="380"/>
      <c r="E18" s="380"/>
      <c r="F18" s="380"/>
      <c r="G18" s="380"/>
      <c r="H18" s="380"/>
      <c r="I18" s="380"/>
    </row>
    <row r="19" spans="2:9" ht="14.25" customHeight="1" x14ac:dyDescent="0.2"/>
    <row r="20" spans="2:9" ht="14.25" customHeight="1" x14ac:dyDescent="0.2"/>
    <row r="21" spans="2:9" ht="14.25" customHeight="1" x14ac:dyDescent="0.2"/>
    <row r="22" spans="2:9" ht="14.25" customHeight="1" x14ac:dyDescent="0.2"/>
    <row r="23" spans="2:9" ht="14.25" customHeight="1" x14ac:dyDescent="0.2"/>
    <row r="24" spans="2:9" ht="14.25" customHeight="1" x14ac:dyDescent="0.2"/>
    <row r="25" spans="2:9" ht="14.25" customHeight="1" x14ac:dyDescent="0.2"/>
    <row r="26" spans="2:9" ht="14.25" customHeight="1" x14ac:dyDescent="0.2"/>
    <row r="27" spans="2:9" ht="14.25" customHeight="1" x14ac:dyDescent="0.2"/>
    <row r="28" spans="2:9" ht="14.25" customHeight="1" x14ac:dyDescent="0.2"/>
    <row r="29" spans="2:9" ht="14.25" customHeight="1" x14ac:dyDescent="0.2"/>
    <row r="30" spans="2:9" ht="14.25" customHeight="1" x14ac:dyDescent="0.2"/>
    <row r="31" spans="2:9" ht="14.25" customHeight="1" x14ac:dyDescent="0.2"/>
    <row r="32" spans="2:9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17">
    <mergeCell ref="G7:I7"/>
    <mergeCell ref="B18:I18"/>
    <mergeCell ref="B2:I2"/>
    <mergeCell ref="B5:C5"/>
    <mergeCell ref="G12:I12"/>
    <mergeCell ref="B16:I16"/>
    <mergeCell ref="B10:C10"/>
    <mergeCell ref="B11:C11"/>
    <mergeCell ref="B6:C6"/>
    <mergeCell ref="B7:C7"/>
    <mergeCell ref="B12:C12"/>
    <mergeCell ref="B8:C8"/>
    <mergeCell ref="B13:C13"/>
    <mergeCell ref="G5:I5"/>
    <mergeCell ref="G10:I10"/>
    <mergeCell ref="G6:I6"/>
    <mergeCell ref="G11:I1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Caratula</vt:lpstr>
      <vt:lpstr>Datos</vt:lpstr>
      <vt:lpstr>FC</vt:lpstr>
      <vt:lpstr>VAN</vt:lpstr>
      <vt:lpstr>GyP</vt:lpstr>
      <vt:lpstr>Depreciacion</vt:lpstr>
      <vt:lpstr>Amortizacion</vt:lpstr>
      <vt:lpstr>Periodo de Recupero</vt:lpstr>
      <vt:lpstr>Conclusion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2021-02-25T16:46:29Z</dcterms:modified>
</cp:coreProperties>
</file>