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HOP\Documents\Năm 2\HK4\OOP\"/>
    </mc:Choice>
  </mc:AlternateContent>
  <xr:revisionPtr revIDLastSave="0" documentId="13_ncr:1_{0AF74087-EBAE-44F9-AD10-951BEB645A64}" xr6:coauthVersionLast="47" xr6:coauthVersionMax="47" xr10:uidLastSave="{00000000-0000-0000-0000-000000000000}"/>
  <bookViews>
    <workbookView xWindow="12564" yWindow="648" windowWidth="9828" windowHeight="11712" xr2:uid="{03E278B7-8451-455D-BEEA-34EC5A5EE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0" i="1" l="1"/>
  <c r="P31" i="1"/>
  <c r="P32" i="1"/>
  <c r="P33" i="1"/>
  <c r="P34" i="1"/>
  <c r="P35" i="1"/>
  <c r="P36" i="1"/>
  <c r="P37" i="1"/>
  <c r="P38" i="1"/>
  <c r="P39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4" i="1"/>
  <c r="P5" i="1"/>
  <c r="I6" i="1"/>
  <c r="I5" i="1"/>
  <c r="W33" i="1"/>
  <c r="W34" i="1"/>
  <c r="W35" i="1"/>
  <c r="W36" i="1"/>
  <c r="W37" i="1"/>
  <c r="W38" i="1"/>
  <c r="W39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V5" i="1"/>
  <c r="V6" i="1"/>
  <c r="V7" i="1"/>
  <c r="V8" i="1"/>
  <c r="V9" i="1"/>
  <c r="V10" i="1"/>
  <c r="V11" i="1"/>
  <c r="V12" i="1"/>
  <c r="V4" i="1"/>
  <c r="T4" i="1"/>
  <c r="AP16" i="1"/>
  <c r="AP17" i="1"/>
  <c r="AP18" i="1"/>
  <c r="AP19" i="1"/>
  <c r="AP20" i="1"/>
  <c r="AP21" i="1"/>
  <c r="AP5" i="1"/>
  <c r="AP6" i="1"/>
  <c r="AP7" i="1"/>
  <c r="AP8" i="1"/>
  <c r="AP9" i="1"/>
  <c r="AP10" i="1"/>
  <c r="AP11" i="1"/>
  <c r="AP12" i="1"/>
  <c r="AP13" i="1"/>
  <c r="AP14" i="1"/>
  <c r="AP15" i="1"/>
  <c r="AP4" i="1"/>
  <c r="AR4" i="1"/>
  <c r="AR5" i="1" s="1"/>
  <c r="AR6" i="1" s="1"/>
  <c r="AR7" i="1" s="1"/>
  <c r="AR8" i="1" s="1"/>
  <c r="AR9" i="1" s="1"/>
  <c r="AR10" i="1" s="1"/>
  <c r="AR11" i="1" s="1"/>
  <c r="AR12" i="1" s="1"/>
  <c r="AR13" i="1" s="1"/>
  <c r="AR14" i="1" s="1"/>
  <c r="AR15" i="1" s="1"/>
  <c r="AR16" i="1" s="1"/>
  <c r="AR17" i="1" s="1"/>
  <c r="AR18" i="1" s="1"/>
  <c r="AR19" i="1" s="1"/>
  <c r="AR20" i="1" s="1"/>
  <c r="AR21" i="1" s="1"/>
  <c r="AQ21" i="1" s="1"/>
  <c r="AK4" i="1"/>
  <c r="AK5" i="1" s="1"/>
  <c r="AK6" i="1" s="1"/>
  <c r="AK7" i="1" s="1"/>
  <c r="AK8" i="1" s="1"/>
  <c r="AK9" i="1" s="1"/>
  <c r="AK10" i="1" s="1"/>
  <c r="AK11" i="1" s="1"/>
  <c r="AK12" i="1" s="1"/>
  <c r="AK13" i="1" s="1"/>
  <c r="AK14" i="1" s="1"/>
  <c r="AK15" i="1" s="1"/>
  <c r="AK16" i="1" s="1"/>
  <c r="AK17" i="1" s="1"/>
  <c r="AK18" i="1" s="1"/>
  <c r="AK19" i="1" s="1"/>
  <c r="AK20" i="1" s="1"/>
  <c r="AK21" i="1" s="1"/>
  <c r="AK22" i="1" s="1"/>
  <c r="AK23" i="1" s="1"/>
  <c r="AK24" i="1" s="1"/>
  <c r="AK25" i="1" s="1"/>
  <c r="AK26" i="1" s="1"/>
  <c r="AK27" i="1" s="1"/>
  <c r="AK28" i="1" s="1"/>
  <c r="AK29" i="1" s="1"/>
  <c r="AK30" i="1" s="1"/>
  <c r="AK31" i="1" s="1"/>
  <c r="AK32" i="1" s="1"/>
  <c r="AK33" i="1" s="1"/>
  <c r="AK34" i="1" s="1"/>
  <c r="AK35" i="1" s="1"/>
  <c r="AK36" i="1" s="1"/>
  <c r="AK37" i="1" s="1"/>
  <c r="AK38" i="1" s="1"/>
  <c r="AK39" i="1" s="1"/>
  <c r="AJ39" i="1" s="1"/>
  <c r="AI35" i="1"/>
  <c r="AI36" i="1"/>
  <c r="AI37" i="1"/>
  <c r="AI38" i="1"/>
  <c r="AI39" i="1"/>
  <c r="AI27" i="1"/>
  <c r="AI28" i="1"/>
  <c r="AI29" i="1"/>
  <c r="AI30" i="1"/>
  <c r="AI31" i="1"/>
  <c r="AI32" i="1"/>
  <c r="AI33" i="1"/>
  <c r="AI34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5" i="1"/>
  <c r="AI6" i="1"/>
  <c r="AI4" i="1"/>
  <c r="AN3" i="1"/>
  <c r="AG3" i="1"/>
  <c r="X4" i="1"/>
  <c r="AA4" i="1" s="1"/>
  <c r="AD4" i="1" s="1"/>
  <c r="X5" i="1"/>
  <c r="AA5" i="1" s="1"/>
  <c r="AD5" i="1" s="1"/>
  <c r="X6" i="1"/>
  <c r="AA6" i="1" s="1"/>
  <c r="AD6" i="1" s="1"/>
  <c r="X7" i="1"/>
  <c r="AA7" i="1" s="1"/>
  <c r="AD7" i="1" s="1"/>
  <c r="X8" i="1"/>
  <c r="AA8" i="1" s="1"/>
  <c r="AD8" i="1" s="1"/>
  <c r="X9" i="1"/>
  <c r="AA9" i="1" s="1"/>
  <c r="AD9" i="1" s="1"/>
  <c r="X10" i="1"/>
  <c r="AA10" i="1" s="1"/>
  <c r="AD10" i="1" s="1"/>
  <c r="X11" i="1"/>
  <c r="AA11" i="1" s="1"/>
  <c r="AD11" i="1" s="1"/>
  <c r="X12" i="1"/>
  <c r="AA12" i="1" s="1"/>
  <c r="AD12" i="1" s="1"/>
  <c r="X13" i="1"/>
  <c r="AA13" i="1" s="1"/>
  <c r="AD13" i="1" s="1"/>
  <c r="X14" i="1"/>
  <c r="AA14" i="1" s="1"/>
  <c r="AD14" i="1" s="1"/>
  <c r="X15" i="1"/>
  <c r="AA15" i="1" s="1"/>
  <c r="AD15" i="1" s="1"/>
  <c r="X16" i="1"/>
  <c r="AA16" i="1" s="1"/>
  <c r="X17" i="1"/>
  <c r="AA17" i="1" s="1"/>
  <c r="X18" i="1"/>
  <c r="AA18" i="1" s="1"/>
  <c r="X19" i="1"/>
  <c r="AA19" i="1" s="1"/>
  <c r="X20" i="1"/>
  <c r="AA20" i="1" s="1"/>
  <c r="X21" i="1"/>
  <c r="AA21" i="1" s="1"/>
  <c r="X22" i="1"/>
  <c r="AA22" i="1" s="1"/>
  <c r="X23" i="1"/>
  <c r="AA23" i="1" s="1"/>
  <c r="X24" i="1"/>
  <c r="AA24" i="1" s="1"/>
  <c r="X25" i="1"/>
  <c r="AA25" i="1" s="1"/>
  <c r="X26" i="1"/>
  <c r="AA26" i="1" s="1"/>
  <c r="X27" i="1"/>
  <c r="AA27" i="1" s="1"/>
  <c r="X28" i="1"/>
  <c r="X29" i="1"/>
  <c r="X30" i="1"/>
  <c r="X31" i="1"/>
  <c r="X32" i="1"/>
  <c r="X33" i="1"/>
  <c r="X34" i="1"/>
  <c r="X35" i="1"/>
  <c r="X36" i="1"/>
  <c r="X37" i="1"/>
  <c r="X38" i="1"/>
  <c r="X39" i="1"/>
  <c r="AQ17" i="1" l="1"/>
  <c r="AQ9" i="1"/>
  <c r="AQ16" i="1"/>
  <c r="AQ8" i="1"/>
  <c r="AQ15" i="1"/>
  <c r="AQ7" i="1"/>
  <c r="AQ4" i="1"/>
  <c r="AQ14" i="1"/>
  <c r="AQ6" i="1"/>
  <c r="AQ13" i="1"/>
  <c r="AQ5" i="1"/>
  <c r="AQ20" i="1"/>
  <c r="AQ12" i="1"/>
  <c r="AQ19" i="1"/>
  <c r="AQ11" i="1"/>
  <c r="AQ18" i="1"/>
  <c r="AQ10" i="1"/>
  <c r="AJ23" i="1"/>
  <c r="AJ30" i="1"/>
  <c r="AJ4" i="1"/>
  <c r="AJ11" i="1"/>
  <c r="AJ22" i="1"/>
  <c r="AJ37" i="1"/>
  <c r="AJ29" i="1"/>
  <c r="AJ12" i="1"/>
  <c r="AJ38" i="1"/>
  <c r="AJ6" i="1"/>
  <c r="AJ10" i="1"/>
  <c r="AJ21" i="1"/>
  <c r="AJ36" i="1"/>
  <c r="AJ28" i="1"/>
  <c r="AJ5" i="1"/>
  <c r="AJ27" i="1"/>
  <c r="AJ16" i="1"/>
  <c r="AJ8" i="1"/>
  <c r="AJ19" i="1"/>
  <c r="AJ34" i="1"/>
  <c r="AJ26" i="1"/>
  <c r="AJ9" i="1"/>
  <c r="AJ20" i="1"/>
  <c r="AJ35" i="1"/>
  <c r="AJ15" i="1"/>
  <c r="AJ7" i="1"/>
  <c r="AJ18" i="1"/>
  <c r="AJ33" i="1"/>
  <c r="AJ14" i="1"/>
  <c r="AJ25" i="1"/>
  <c r="AJ17" i="1"/>
  <c r="AJ32" i="1"/>
  <c r="AJ13" i="1"/>
  <c r="AJ24" i="1"/>
  <c r="AJ31" i="1"/>
  <c r="I4" i="1"/>
  <c r="N4" i="1" s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K4" i="1" l="1"/>
  <c r="J4" i="1"/>
  <c r="N5" i="1" s="1"/>
  <c r="K5" i="1" l="1"/>
  <c r="L4" i="1"/>
  <c r="J5" i="1"/>
  <c r="N6" i="1" s="1"/>
  <c r="O4" i="1" l="1"/>
  <c r="M4" i="1"/>
  <c r="K6" i="1"/>
  <c r="L5" i="1"/>
  <c r="J6" i="1"/>
  <c r="W4" i="1"/>
  <c r="Z4" i="1" s="1"/>
  <c r="AC4" i="1" s="1"/>
  <c r="K7" i="1" l="1"/>
  <c r="N7" i="1"/>
  <c r="O5" i="1"/>
  <c r="M5" i="1"/>
  <c r="L6" i="1"/>
  <c r="M6" i="1" s="1"/>
  <c r="J7" i="1"/>
  <c r="W5" i="1"/>
  <c r="Z5" i="1" s="1"/>
  <c r="AC5" i="1" s="1"/>
  <c r="N8" i="1" l="1"/>
  <c r="K8" i="1" s="1"/>
  <c r="W6" i="1"/>
  <c r="Z6" i="1" s="1"/>
  <c r="AC6" i="1" s="1"/>
  <c r="O6" i="1"/>
  <c r="L7" i="1"/>
  <c r="M7" i="1" s="1"/>
  <c r="L8" i="1"/>
  <c r="J8" i="1"/>
  <c r="N9" i="1" l="1"/>
  <c r="K9" i="1" s="1"/>
  <c r="O8" i="1"/>
  <c r="M8" i="1"/>
  <c r="W7" i="1"/>
  <c r="Z7" i="1" s="1"/>
  <c r="AC7" i="1" s="1"/>
  <c r="O7" i="1"/>
  <c r="W8" i="1"/>
  <c r="Z8" i="1" s="1"/>
  <c r="AC8" i="1" s="1"/>
  <c r="L9" i="1"/>
  <c r="J9" i="1"/>
  <c r="N10" i="1" l="1"/>
  <c r="K10" i="1" s="1"/>
  <c r="O9" i="1"/>
  <c r="M9" i="1"/>
  <c r="W9" i="1"/>
  <c r="Z9" i="1" s="1"/>
  <c r="AC9" i="1" s="1"/>
  <c r="L10" i="1"/>
  <c r="J10" i="1"/>
  <c r="N11" i="1" l="1"/>
  <c r="K11" i="1" s="1"/>
  <c r="O10" i="1"/>
  <c r="M10" i="1"/>
  <c r="L11" i="1"/>
  <c r="J11" i="1"/>
  <c r="W10" i="1"/>
  <c r="Z10" i="1" s="1"/>
  <c r="AC10" i="1" s="1"/>
  <c r="K12" i="1" l="1"/>
  <c r="N12" i="1"/>
  <c r="O11" i="1"/>
  <c r="M11" i="1"/>
  <c r="L12" i="1"/>
  <c r="J12" i="1"/>
  <c r="W11" i="1"/>
  <c r="Z11" i="1" s="1"/>
  <c r="AC11" i="1" s="1"/>
  <c r="N13" i="1" l="1"/>
  <c r="K13" i="1" s="1"/>
  <c r="O12" i="1"/>
  <c r="M12" i="1"/>
  <c r="L13" i="1"/>
  <c r="J13" i="1"/>
  <c r="W12" i="1"/>
  <c r="Z12" i="1" s="1"/>
  <c r="AC12" i="1" s="1"/>
  <c r="N14" i="1" l="1"/>
  <c r="K14" i="1" s="1"/>
  <c r="O13" i="1"/>
  <c r="M13" i="1"/>
  <c r="J14" i="1"/>
  <c r="W13" i="1"/>
  <c r="Z13" i="1" s="1"/>
  <c r="AC13" i="1" s="1"/>
  <c r="N15" i="1" l="1"/>
  <c r="L15" i="1" s="1"/>
  <c r="L14" i="1"/>
  <c r="O14" i="1" s="1"/>
  <c r="M14" i="1"/>
  <c r="J15" i="1"/>
  <c r="W14" i="1"/>
  <c r="Z14" i="1" s="1"/>
  <c r="AC14" i="1" s="1"/>
  <c r="K15" i="1" l="1"/>
  <c r="N16" i="1"/>
  <c r="K16" i="1" s="1"/>
  <c r="O15" i="1"/>
  <c r="M15" i="1"/>
  <c r="L16" i="1"/>
  <c r="J16" i="1"/>
  <c r="W15" i="1"/>
  <c r="Z15" i="1" s="1"/>
  <c r="AC15" i="1" s="1"/>
  <c r="N17" i="1" l="1"/>
  <c r="K17" i="1" s="1"/>
  <c r="O16" i="1"/>
  <c r="M16" i="1"/>
  <c r="L17" i="1"/>
  <c r="J17" i="1"/>
  <c r="W16" i="1"/>
  <c r="Z16" i="1" s="1"/>
  <c r="N18" i="1" l="1"/>
  <c r="K18" i="1" s="1"/>
  <c r="O17" i="1"/>
  <c r="M17" i="1"/>
  <c r="W17" i="1"/>
  <c r="Z17" i="1" s="1"/>
  <c r="L18" i="1"/>
  <c r="J18" i="1"/>
  <c r="K19" i="1" l="1"/>
  <c r="N19" i="1"/>
  <c r="L19" i="1" s="1"/>
  <c r="O18" i="1"/>
  <c r="M18" i="1"/>
  <c r="J19" i="1"/>
  <c r="W18" i="1"/>
  <c r="Z18" i="1" s="1"/>
  <c r="N20" i="1" l="1"/>
  <c r="L20" i="1" s="1"/>
  <c r="O19" i="1"/>
  <c r="M19" i="1"/>
  <c r="J20" i="1"/>
  <c r="W19" i="1"/>
  <c r="Z19" i="1" s="1"/>
  <c r="K20" i="1" l="1"/>
  <c r="N21" i="1"/>
  <c r="K21" i="1" s="1"/>
  <c r="O20" i="1"/>
  <c r="M20" i="1"/>
  <c r="W20" i="1"/>
  <c r="Z20" i="1" s="1"/>
  <c r="L21" i="1"/>
  <c r="J21" i="1"/>
  <c r="N22" i="1" l="1"/>
  <c r="K22" i="1" s="1"/>
  <c r="O21" i="1"/>
  <c r="M21" i="1"/>
  <c r="J22" i="1"/>
  <c r="W21" i="1"/>
  <c r="Z21" i="1" s="1"/>
  <c r="L22" i="1" l="1"/>
  <c r="N23" i="1"/>
  <c r="K23" i="1" s="1"/>
  <c r="O22" i="1"/>
  <c r="M22" i="1"/>
  <c r="J23" i="1"/>
  <c r="W22" i="1"/>
  <c r="Z22" i="1" s="1"/>
  <c r="N24" i="1" l="1"/>
  <c r="K24" i="1" s="1"/>
  <c r="L23" i="1"/>
  <c r="O23" i="1" s="1"/>
  <c r="L24" i="1"/>
  <c r="J24" i="1"/>
  <c r="W23" i="1"/>
  <c r="Z23" i="1" s="1"/>
  <c r="N25" i="1" l="1"/>
  <c r="K25" i="1" s="1"/>
  <c r="M23" i="1"/>
  <c r="O24" i="1"/>
  <c r="M24" i="1"/>
  <c r="L25" i="1"/>
  <c r="J25" i="1"/>
  <c r="W24" i="1"/>
  <c r="Z24" i="1" s="1"/>
  <c r="N26" i="1" l="1"/>
  <c r="K26" i="1" s="1"/>
  <c r="O25" i="1"/>
  <c r="M25" i="1"/>
  <c r="L26" i="1"/>
  <c r="J26" i="1"/>
  <c r="W25" i="1"/>
  <c r="Z25" i="1" s="1"/>
  <c r="N27" i="1" l="1"/>
  <c r="K27" i="1" s="1"/>
  <c r="O26" i="1"/>
  <c r="M26" i="1"/>
  <c r="J27" i="1"/>
  <c r="W26" i="1"/>
  <c r="Z26" i="1" s="1"/>
  <c r="L27" i="1" l="1"/>
  <c r="O27" i="1" s="1"/>
  <c r="N28" i="1"/>
  <c r="K28" i="1" s="1"/>
  <c r="J28" i="1"/>
  <c r="M27" i="1" l="1"/>
  <c r="W27" i="1"/>
  <c r="Z27" i="1" s="1"/>
  <c r="L28" i="1"/>
  <c r="W28" i="1" s="1"/>
  <c r="N29" i="1"/>
  <c r="K29" i="1" s="1"/>
  <c r="O28" i="1"/>
  <c r="M28" i="1"/>
  <c r="L29" i="1"/>
  <c r="J29" i="1"/>
  <c r="N30" i="1" l="1"/>
  <c r="K30" i="1" s="1"/>
  <c r="O29" i="1"/>
  <c r="M29" i="1"/>
  <c r="L30" i="1"/>
  <c r="J30" i="1"/>
  <c r="W29" i="1"/>
  <c r="N31" i="1" l="1"/>
  <c r="K31" i="1" s="1"/>
  <c r="O30" i="1"/>
  <c r="M30" i="1"/>
  <c r="L31" i="1"/>
  <c r="J31" i="1"/>
  <c r="W30" i="1"/>
  <c r="N32" i="1" l="1"/>
  <c r="K32" i="1" s="1"/>
  <c r="O31" i="1"/>
  <c r="M31" i="1"/>
  <c r="J32" i="1"/>
  <c r="W31" i="1"/>
  <c r="L32" i="1" l="1"/>
  <c r="N33" i="1"/>
  <c r="L33" i="1" s="1"/>
  <c r="O32" i="1"/>
  <c r="M32" i="1"/>
  <c r="J33" i="1"/>
  <c r="W32" i="1"/>
  <c r="K33" i="1" l="1"/>
  <c r="N34" i="1"/>
  <c r="K34" i="1" s="1"/>
  <c r="O33" i="1"/>
  <c r="M33" i="1"/>
  <c r="L34" i="1"/>
  <c r="J34" i="1"/>
  <c r="T33" i="1"/>
  <c r="N35" i="1" l="1"/>
  <c r="L35" i="1" s="1"/>
  <c r="O34" i="1"/>
  <c r="M34" i="1"/>
  <c r="J35" i="1"/>
  <c r="T34" i="1"/>
  <c r="K35" i="1" l="1"/>
  <c r="N36" i="1"/>
  <c r="K36" i="1" s="1"/>
  <c r="O35" i="1"/>
  <c r="M35" i="1"/>
  <c r="J36" i="1"/>
  <c r="T35" i="1"/>
  <c r="N37" i="1" l="1"/>
  <c r="K37" i="1" s="1"/>
  <c r="L36" i="1"/>
  <c r="O36" i="1" s="1"/>
  <c r="M36" i="1"/>
  <c r="L37" i="1"/>
  <c r="J37" i="1"/>
  <c r="T36" i="1"/>
  <c r="N38" i="1" l="1"/>
  <c r="L38" i="1" s="1"/>
  <c r="O37" i="1"/>
  <c r="M37" i="1"/>
  <c r="J38" i="1"/>
  <c r="T37" i="1"/>
  <c r="K38" i="1" l="1"/>
  <c r="N39" i="1"/>
  <c r="K39" i="1" s="1"/>
  <c r="O38" i="1"/>
  <c r="M38" i="1"/>
  <c r="L39" i="1"/>
  <c r="J39" i="1"/>
  <c r="T38" i="1"/>
  <c r="AB29" i="1"/>
  <c r="O39" i="1" l="1"/>
  <c r="M39" i="1"/>
  <c r="T39" i="1"/>
  <c r="T40" i="1" s="1"/>
</calcChain>
</file>

<file path=xl/sharedStrings.xml><?xml version="1.0" encoding="utf-8"?>
<sst xmlns="http://schemas.openxmlformats.org/spreadsheetml/2006/main" count="52" uniqueCount="38">
  <si>
    <t>Tháng</t>
  </si>
  <si>
    <t>Thu nhập khác</t>
  </si>
  <si>
    <t>Ăn uống</t>
  </si>
  <si>
    <t>Khác</t>
  </si>
  <si>
    <t>Điện nước</t>
  </si>
  <si>
    <t>Dự trù</t>
  </si>
  <si>
    <t>Tiền gửi TK</t>
  </si>
  <si>
    <t>Tổng chi tiêu</t>
  </si>
  <si>
    <t>Lãi xuất</t>
  </si>
  <si>
    <t>Tiền mượn 1.5 năm</t>
  </si>
  <si>
    <t>Tiền mượn 3 năm</t>
  </si>
  <si>
    <t>Kỳ hạn</t>
  </si>
  <si>
    <t xml:space="preserve"> Tiền mượn</t>
  </si>
  <si>
    <t>Tháng thứ</t>
  </si>
  <si>
    <t>Ngày gửi</t>
  </si>
  <si>
    <t>Ngày đáo hạn</t>
  </si>
  <si>
    <t>Ngày mượn</t>
  </si>
  <si>
    <t>Ngày trả</t>
  </si>
  <si>
    <t>Lãi kỳ hạn 6 tháng</t>
  </si>
  <si>
    <t>QUẢN LÝ CHI TIÊU-GỬI TIẾT KIỆM</t>
  </si>
  <si>
    <t>Lãi kỳ hạn 12 tháng</t>
  </si>
  <si>
    <t>Chú thích</t>
  </si>
  <si>
    <t>Vùng nhập liệu</t>
  </si>
  <si>
    <t>Vùng tính toán</t>
  </si>
  <si>
    <t>Tất toán-Mở TK mới</t>
  </si>
  <si>
    <t>Ví dụ tất toán TKTK và mở TKTK mới</t>
  </si>
  <si>
    <t>Tổng tiền trong các TKTK sau 36 tháng:</t>
  </si>
  <si>
    <t>Lương chồng</t>
  </si>
  <si>
    <t>Lương vợ</t>
  </si>
  <si>
    <t>Tiền nợ trong tháng</t>
  </si>
  <si>
    <t>Tổng nợ</t>
  </si>
  <si>
    <t xml:space="preserve">Tổng lãi nợ </t>
  </si>
  <si>
    <t>Tổng lãi nợ</t>
  </si>
  <si>
    <t>Tiền âm</t>
  </si>
  <si>
    <t>Đánh giá</t>
  </si>
  <si>
    <t>KT âm-dương</t>
  </si>
  <si>
    <t>TKTK GĐ</t>
  </si>
  <si>
    <t>Âm qua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</si>
</sst>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2" tint="-0.8999908444471571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B95D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medium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4" borderId="2" xfId="0" applyFill="1" applyBorder="1"/>
    <xf numFmtId="0" fontId="0" fillId="0" borderId="0" xfId="0" applyFill="1"/>
    <xf numFmtId="0" fontId="1" fillId="0" borderId="1" xfId="0" applyFont="1" applyFill="1" applyBorder="1"/>
    <xf numFmtId="0" fontId="0" fillId="7" borderId="2" xfId="0" applyFill="1" applyBorder="1"/>
    <xf numFmtId="0" fontId="1" fillId="4" borderId="2" xfId="0" applyFont="1" applyFill="1" applyBorder="1"/>
    <xf numFmtId="14" fontId="0" fillId="9" borderId="6" xfId="0" applyNumberFormat="1" applyFill="1" applyBorder="1" applyAlignment="1"/>
    <xf numFmtId="14" fontId="0" fillId="9" borderId="1" xfId="0" applyNumberFormat="1" applyFill="1" applyBorder="1"/>
    <xf numFmtId="14" fontId="0" fillId="4" borderId="6" xfId="0" applyNumberFormat="1" applyFill="1" applyBorder="1" applyAlignment="1"/>
    <xf numFmtId="0" fontId="0" fillId="4" borderId="1" xfId="0" applyFill="1" applyBorder="1" applyAlignment="1"/>
    <xf numFmtId="14" fontId="0" fillId="4" borderId="1" xfId="0" applyNumberFormat="1" applyFill="1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Fill="1" applyBorder="1"/>
    <xf numFmtId="0" fontId="0" fillId="0" borderId="14" xfId="0" applyFill="1" applyBorder="1"/>
    <xf numFmtId="0" fontId="0" fillId="4" borderId="15" xfId="0" applyFill="1" applyBorder="1"/>
    <xf numFmtId="0" fontId="0" fillId="7" borderId="15" xfId="0" applyFill="1" applyBorder="1"/>
    <xf numFmtId="0" fontId="0" fillId="4" borderId="6" xfId="0" applyFill="1" applyBorder="1"/>
    <xf numFmtId="0" fontId="0" fillId="0" borderId="12" xfId="0" applyFill="1" applyBorder="1"/>
    <xf numFmtId="0" fontId="0" fillId="0" borderId="11" xfId="0" applyFill="1" applyBorder="1"/>
    <xf numFmtId="0" fontId="4" fillId="0" borderId="0" xfId="0" applyFont="1" applyFill="1" applyBorder="1"/>
    <xf numFmtId="0" fontId="1" fillId="0" borderId="10" xfId="0" applyFont="1" applyFill="1" applyBorder="1"/>
    <xf numFmtId="0" fontId="0" fillId="0" borderId="16" xfId="0" applyFill="1" applyBorder="1"/>
    <xf numFmtId="0" fontId="1" fillId="2" borderId="17" xfId="0" applyFont="1" applyFill="1" applyBorder="1"/>
    <xf numFmtId="0" fontId="0" fillId="4" borderId="18" xfId="0" applyFill="1" applyBorder="1"/>
    <xf numFmtId="0" fontId="1" fillId="2" borderId="19" xfId="0" applyFont="1" applyFill="1" applyBorder="1"/>
    <xf numFmtId="0" fontId="0" fillId="4" borderId="20" xfId="0" applyFill="1" applyBorder="1"/>
    <xf numFmtId="0" fontId="0" fillId="0" borderId="10" xfId="0" applyFill="1" applyBorder="1"/>
    <xf numFmtId="0" fontId="0" fillId="7" borderId="17" xfId="0" applyFill="1" applyBorder="1"/>
    <xf numFmtId="0" fontId="4" fillId="7" borderId="18" xfId="0" applyFont="1" applyFill="1" applyBorder="1"/>
    <xf numFmtId="0" fontId="0" fillId="7" borderId="19" xfId="0" applyFill="1" applyBorder="1"/>
    <xf numFmtId="14" fontId="0" fillId="7" borderId="2" xfId="0" applyNumberFormat="1" applyFill="1" applyBorder="1"/>
    <xf numFmtId="14" fontId="0" fillId="7" borderId="14" xfId="0" applyNumberFormat="1" applyFill="1" applyBorder="1"/>
    <xf numFmtId="0" fontId="1" fillId="4" borderId="15" xfId="0" applyFont="1" applyFill="1" applyBorder="1"/>
    <xf numFmtId="0" fontId="1" fillId="4" borderId="1" xfId="0" applyFont="1" applyFill="1" applyBorder="1"/>
    <xf numFmtId="0" fontId="1" fillId="2" borderId="23" xfId="0" applyFont="1" applyFill="1" applyBorder="1"/>
    <xf numFmtId="0" fontId="1" fillId="4" borderId="21" xfId="0" applyFont="1" applyFill="1" applyBorder="1"/>
    <xf numFmtId="0" fontId="1" fillId="4" borderId="22" xfId="0" applyFont="1" applyFill="1" applyBorder="1"/>
    <xf numFmtId="0" fontId="0" fillId="3" borderId="0" xfId="0" applyFill="1" applyBorder="1"/>
    <xf numFmtId="0" fontId="0" fillId="6" borderId="0" xfId="0" applyFill="1" applyBorder="1"/>
    <xf numFmtId="0" fontId="0" fillId="0" borderId="0" xfId="0" applyAlignment="1">
      <alignment vertical="center"/>
    </xf>
    <xf numFmtId="0" fontId="0" fillId="9" borderId="1" xfId="0" applyFill="1" applyBorder="1"/>
    <xf numFmtId="0" fontId="1" fillId="3" borderId="25" xfId="0" applyFont="1" applyFill="1" applyBorder="1" applyAlignment="1">
      <alignment vertical="center"/>
    </xf>
    <xf numFmtId="0" fontId="1" fillId="6" borderId="25" xfId="0" applyFont="1" applyFill="1" applyBorder="1" applyAlignment="1">
      <alignment vertical="center"/>
    </xf>
    <xf numFmtId="0" fontId="1" fillId="6" borderId="26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0" borderId="27" xfId="0" applyFill="1" applyBorder="1" applyAlignment="1"/>
    <xf numFmtId="0" fontId="1" fillId="3" borderId="28" xfId="0" applyFont="1" applyFill="1" applyBorder="1" applyAlignment="1">
      <alignment vertical="center"/>
    </xf>
    <xf numFmtId="0" fontId="1" fillId="6" borderId="28" xfId="0" applyFont="1" applyFill="1" applyBorder="1" applyAlignment="1">
      <alignment vertical="center"/>
    </xf>
    <xf numFmtId="0" fontId="1" fillId="11" borderId="7" xfId="0" applyFont="1" applyFill="1" applyBorder="1"/>
    <xf numFmtId="0" fontId="0" fillId="11" borderId="8" xfId="0" applyFill="1" applyBorder="1"/>
    <xf numFmtId="0" fontId="0" fillId="11" borderId="9" xfId="0" applyFill="1" applyBorder="1"/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24" xfId="0" applyFill="1" applyBorder="1"/>
    <xf numFmtId="0" fontId="1" fillId="3" borderId="29" xfId="0" applyFont="1" applyFill="1" applyBorder="1" applyAlignment="1">
      <alignment vertical="center"/>
    </xf>
    <xf numFmtId="0" fontId="4" fillId="0" borderId="12" xfId="0" applyFont="1" applyFill="1" applyBorder="1"/>
    <xf numFmtId="0" fontId="4" fillId="12" borderId="2" xfId="0" applyFont="1" applyFill="1" applyBorder="1"/>
    <xf numFmtId="0" fontId="4" fillId="0" borderId="2" xfId="0" applyFont="1" applyFill="1" applyBorder="1"/>
    <xf numFmtId="0" fontId="0" fillId="12" borderId="1" xfId="0" applyFill="1" applyBorder="1"/>
    <xf numFmtId="0" fontId="0" fillId="0" borderId="6" xfId="0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4" fillId="0" borderId="31" xfId="0" applyFont="1" applyFill="1" applyBorder="1"/>
    <xf numFmtId="0" fontId="4" fillId="0" borderId="21" xfId="0" applyFont="1" applyFill="1" applyBorder="1"/>
    <xf numFmtId="0" fontId="4" fillId="12" borderId="21" xfId="0" applyFont="1" applyFill="1" applyBorder="1"/>
    <xf numFmtId="0" fontId="4" fillId="12" borderId="1" xfId="0" applyFont="1" applyFill="1" applyBorder="1"/>
    <xf numFmtId="0" fontId="4" fillId="12" borderId="15" xfId="0" applyFont="1" applyFill="1" applyBorder="1"/>
    <xf numFmtId="0" fontId="4" fillId="0" borderId="15" xfId="0" applyFont="1" applyFill="1" applyBorder="1"/>
    <xf numFmtId="0" fontId="4" fillId="0" borderId="32" xfId="0" applyFont="1" applyFill="1" applyBorder="1"/>
    <xf numFmtId="0" fontId="4" fillId="0" borderId="30" xfId="0" applyFont="1" applyFill="1" applyBorder="1"/>
    <xf numFmtId="0" fontId="4" fillId="0" borderId="34" xfId="0" applyFont="1" applyFill="1" applyBorder="1"/>
    <xf numFmtId="0" fontId="4" fillId="0" borderId="35" xfId="0" applyFont="1" applyFill="1" applyBorder="1"/>
    <xf numFmtId="0" fontId="0" fillId="0" borderId="33" xfId="0" applyBorder="1"/>
    <xf numFmtId="0" fontId="0" fillId="0" borderId="32" xfId="0" applyBorder="1"/>
    <xf numFmtId="0" fontId="4" fillId="0" borderId="38" xfId="0" applyFont="1" applyFill="1" applyBorder="1" applyAlignment="1">
      <alignment horizontal="left"/>
    </xf>
    <xf numFmtId="0" fontId="4" fillId="0" borderId="39" xfId="0" applyFont="1" applyFill="1" applyBorder="1"/>
    <xf numFmtId="14" fontId="0" fillId="4" borderId="2" xfId="0" applyNumberFormat="1" applyFill="1" applyBorder="1"/>
    <xf numFmtId="14" fontId="0" fillId="4" borderId="15" xfId="0" applyNumberFormat="1" applyFill="1" applyBorder="1"/>
    <xf numFmtId="0" fontId="7" fillId="6" borderId="5" xfId="0" applyFont="1" applyFill="1" applyBorder="1" applyAlignment="1">
      <alignment vertical="center"/>
    </xf>
    <xf numFmtId="0" fontId="7" fillId="9" borderId="4" xfId="0" applyFont="1" applyFill="1" applyBorder="1" applyAlignment="1">
      <alignment vertical="center"/>
    </xf>
    <xf numFmtId="0" fontId="1" fillId="9" borderId="4" xfId="0" applyFont="1" applyFill="1" applyBorder="1" applyAlignment="1">
      <alignment vertical="center"/>
    </xf>
    <xf numFmtId="0" fontId="1" fillId="13" borderId="4" xfId="0" applyFont="1" applyFill="1" applyBorder="1" applyAlignment="1">
      <alignment vertical="center"/>
    </xf>
    <xf numFmtId="0" fontId="1" fillId="11" borderId="8" xfId="0" applyFont="1" applyFill="1" applyBorder="1"/>
    <xf numFmtId="0" fontId="0" fillId="11" borderId="0" xfId="0" applyFill="1" applyBorder="1"/>
    <xf numFmtId="0" fontId="0" fillId="4" borderId="2" xfId="0" applyFont="1" applyFill="1" applyBorder="1"/>
    <xf numFmtId="0" fontId="1" fillId="6" borderId="40" xfId="0" applyFont="1" applyFill="1" applyBorder="1" applyAlignment="1">
      <alignment vertical="center"/>
    </xf>
    <xf numFmtId="0" fontId="0" fillId="0" borderId="41" xfId="0" applyFill="1" applyBorder="1" applyAlignment="1"/>
    <xf numFmtId="0" fontId="1" fillId="13" borderId="42" xfId="0" applyFont="1" applyFill="1" applyBorder="1" applyAlignment="1">
      <alignment vertical="center"/>
    </xf>
    <xf numFmtId="0" fontId="0" fillId="0" borderId="35" xfId="0" applyFill="1" applyBorder="1"/>
    <xf numFmtId="0" fontId="1" fillId="3" borderId="43" xfId="0" applyFont="1" applyFill="1" applyBorder="1" applyAlignment="1">
      <alignment vertical="center"/>
    </xf>
    <xf numFmtId="0" fontId="0" fillId="4" borderId="10" xfId="0" applyFill="1" applyBorder="1" applyAlignment="1"/>
    <xf numFmtId="0" fontId="0" fillId="7" borderId="18" xfId="0" applyFill="1" applyBorder="1"/>
    <xf numFmtId="0" fontId="0" fillId="0" borderId="44" xfId="0" applyFill="1" applyBorder="1"/>
    <xf numFmtId="0" fontId="0" fillId="0" borderId="2" xfId="0" applyFill="1" applyBorder="1"/>
    <xf numFmtId="0" fontId="0" fillId="0" borderId="15" xfId="0" applyFill="1" applyBorder="1"/>
    <xf numFmtId="0" fontId="4" fillId="7" borderId="20" xfId="0" applyFont="1" applyFill="1" applyBorder="1"/>
    <xf numFmtId="0" fontId="0" fillId="5" borderId="4" xfId="0" applyFill="1" applyBorder="1"/>
    <xf numFmtId="0" fontId="0" fillId="7" borderId="34" xfId="0" applyFill="1" applyBorder="1"/>
    <xf numFmtId="0" fontId="0" fillId="7" borderId="45" xfId="0" applyFill="1" applyBorder="1"/>
    <xf numFmtId="0" fontId="4" fillId="5" borderId="4" xfId="0" applyFont="1" applyFill="1" applyBorder="1"/>
    <xf numFmtId="0" fontId="0" fillId="4" borderId="15" xfId="0" applyFont="1" applyFill="1" applyBorder="1"/>
    <xf numFmtId="0" fontId="1" fillId="11" borderId="0" xfId="0" applyFont="1" applyFill="1" applyBorder="1" applyAlignment="1">
      <alignment horizontal="left"/>
    </xf>
    <xf numFmtId="0" fontId="1" fillId="11" borderId="11" xfId="0" applyFont="1" applyFill="1" applyBorder="1" applyAlignment="1">
      <alignment horizontal="left"/>
    </xf>
    <xf numFmtId="0" fontId="6" fillId="10" borderId="7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/>
    </xf>
    <xf numFmtId="0" fontId="5" fillId="8" borderId="24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/>
    </xf>
    <xf numFmtId="0" fontId="4" fillId="0" borderId="37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95D8"/>
      <color rgb="FF6281F4"/>
      <color rgb="FFF165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37D17-C0CD-431B-9EAB-02A02F544D12}">
  <dimension ref="A1:AR45"/>
  <sheetViews>
    <sheetView tabSelected="1" topLeftCell="L1" zoomScale="70" zoomScaleNormal="70" workbookViewId="0">
      <selection activeCell="U5" sqref="U5"/>
    </sheetView>
  </sheetViews>
  <sheetFormatPr defaultRowHeight="14.4" x14ac:dyDescent="0.3"/>
  <cols>
    <col min="1" max="2" width="9.77734375" customWidth="1"/>
    <col min="3" max="3" width="13.44140625" customWidth="1"/>
    <col min="4" max="4" width="11.109375" customWidth="1"/>
    <col min="5" max="5" width="13.5546875" customWidth="1"/>
    <col min="6" max="6" width="10" customWidth="1"/>
    <col min="7" max="7" width="11" customWidth="1"/>
    <col min="8" max="8" width="11.109375" customWidth="1"/>
    <col min="9" max="9" width="13" customWidth="1"/>
    <col min="10" max="10" width="10.109375" customWidth="1"/>
    <col min="11" max="11" width="12.6640625" customWidth="1"/>
    <col min="12" max="12" width="11.109375" customWidth="1"/>
    <col min="13" max="13" width="13.21875" customWidth="1"/>
    <col min="14" max="14" width="10.5546875" hidden="1" customWidth="1"/>
    <col min="15" max="16" width="12.109375" customWidth="1"/>
    <col min="17" max="17" width="8.109375" customWidth="1"/>
    <col min="18" max="18" width="16.21875" customWidth="1"/>
    <col min="19" max="19" width="17.21875" customWidth="1"/>
    <col min="20" max="20" width="13.109375" customWidth="1"/>
    <col min="21" max="21" width="11.5546875" customWidth="1"/>
    <col min="22" max="22" width="12.77734375" customWidth="1"/>
    <col min="23" max="23" width="18.5546875" customWidth="1"/>
    <col min="24" max="25" width="10" style="2" hidden="1" customWidth="1"/>
    <col min="26" max="26" width="22.109375" style="2" hidden="1" customWidth="1"/>
    <col min="27" max="27" width="11.21875" style="2" hidden="1" customWidth="1"/>
    <col min="28" max="28" width="13.88671875" style="2" hidden="1" customWidth="1"/>
    <col min="29" max="29" width="18.33203125" style="2" hidden="1" customWidth="1"/>
    <col min="30" max="30" width="10.109375" style="2" hidden="1" customWidth="1"/>
    <col min="31" max="33" width="11" customWidth="1"/>
    <col min="35" max="35" width="17.44140625" customWidth="1"/>
    <col min="36" max="36" width="15.88671875" customWidth="1"/>
    <col min="37" max="37" width="15.5546875" customWidth="1"/>
    <col min="38" max="40" width="12.109375" customWidth="1"/>
    <col min="41" max="41" width="10.77734375" customWidth="1"/>
    <col min="42" max="42" width="17.77734375" customWidth="1"/>
    <col min="43" max="43" width="15.77734375" customWidth="1"/>
    <col min="44" max="44" width="13.21875" customWidth="1"/>
  </cols>
  <sheetData>
    <row r="1" spans="1:44" ht="46.2" customHeight="1" thickBot="1" x14ac:dyDescent="0.35">
      <c r="A1" s="115" t="s">
        <v>19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6"/>
      <c r="X1" s="119" t="s">
        <v>25</v>
      </c>
      <c r="Y1" s="120"/>
      <c r="Z1" s="120"/>
      <c r="AA1" s="120"/>
      <c r="AB1" s="120"/>
      <c r="AC1" s="120"/>
      <c r="AD1" s="120"/>
      <c r="AE1" s="112" t="s">
        <v>10</v>
      </c>
      <c r="AF1" s="113"/>
      <c r="AG1" s="113"/>
      <c r="AH1" s="113"/>
      <c r="AI1" s="113"/>
      <c r="AJ1" s="113"/>
      <c r="AK1" s="114"/>
      <c r="AL1" s="113" t="s">
        <v>9</v>
      </c>
      <c r="AM1" s="113"/>
      <c r="AN1" s="113"/>
      <c r="AO1" s="113"/>
      <c r="AP1" s="113"/>
      <c r="AQ1" s="113"/>
      <c r="AR1" s="114"/>
    </row>
    <row r="2" spans="1:44" s="43" customFormat="1" ht="22.2" customHeight="1" thickBot="1" x14ac:dyDescent="0.35">
      <c r="A2" s="48" t="s">
        <v>13</v>
      </c>
      <c r="B2" s="49" t="s">
        <v>0</v>
      </c>
      <c r="C2" s="49" t="s">
        <v>27</v>
      </c>
      <c r="D2" s="49" t="s">
        <v>28</v>
      </c>
      <c r="E2" s="49" t="s">
        <v>1</v>
      </c>
      <c r="F2" s="50" t="s">
        <v>2</v>
      </c>
      <c r="G2" s="50" t="s">
        <v>4</v>
      </c>
      <c r="H2" s="50" t="s">
        <v>3</v>
      </c>
      <c r="I2" s="51" t="s">
        <v>7</v>
      </c>
      <c r="J2" s="52" t="s">
        <v>5</v>
      </c>
      <c r="K2" s="52" t="s">
        <v>35</v>
      </c>
      <c r="L2" s="52" t="s">
        <v>6</v>
      </c>
      <c r="M2" s="52" t="s">
        <v>37</v>
      </c>
      <c r="N2" s="52" t="s">
        <v>33</v>
      </c>
      <c r="O2" s="52" t="s">
        <v>34</v>
      </c>
      <c r="P2" s="52" t="s">
        <v>33</v>
      </c>
      <c r="Q2" s="49" t="s">
        <v>11</v>
      </c>
      <c r="R2" s="51" t="s">
        <v>18</v>
      </c>
      <c r="S2" s="51" t="s">
        <v>20</v>
      </c>
      <c r="T2" s="51" t="s">
        <v>36</v>
      </c>
      <c r="U2" s="49" t="s">
        <v>14</v>
      </c>
      <c r="V2" s="52" t="s">
        <v>15</v>
      </c>
      <c r="W2" s="52" t="s">
        <v>24</v>
      </c>
      <c r="X2" s="87" t="s">
        <v>13</v>
      </c>
      <c r="Y2" s="88" t="s">
        <v>11</v>
      </c>
      <c r="Z2" s="89" t="s">
        <v>24</v>
      </c>
      <c r="AA2" s="89" t="s">
        <v>13</v>
      </c>
      <c r="AB2" s="90" t="s">
        <v>11</v>
      </c>
      <c r="AC2" s="90" t="s">
        <v>24</v>
      </c>
      <c r="AD2" s="96" t="s">
        <v>13</v>
      </c>
      <c r="AE2" s="98" t="s">
        <v>12</v>
      </c>
      <c r="AF2" s="54" t="s">
        <v>16</v>
      </c>
      <c r="AG2" s="55" t="s">
        <v>17</v>
      </c>
      <c r="AH2" s="45" t="s">
        <v>8</v>
      </c>
      <c r="AI2" s="94" t="s">
        <v>29</v>
      </c>
      <c r="AJ2" s="94" t="s">
        <v>31</v>
      </c>
      <c r="AK2" s="47" t="s">
        <v>30</v>
      </c>
      <c r="AL2" s="63" t="s">
        <v>12</v>
      </c>
      <c r="AM2" s="50" t="s">
        <v>16</v>
      </c>
      <c r="AN2" s="55" t="s">
        <v>17</v>
      </c>
      <c r="AO2" s="45" t="s">
        <v>8</v>
      </c>
      <c r="AP2" s="46" t="s">
        <v>29</v>
      </c>
      <c r="AQ2" s="46" t="s">
        <v>32</v>
      </c>
      <c r="AR2" s="47" t="s">
        <v>30</v>
      </c>
    </row>
    <row r="3" spans="1:44" x14ac:dyDescent="0.3">
      <c r="A3" s="24"/>
      <c r="B3" s="5"/>
      <c r="C3" s="5"/>
      <c r="D3" s="1"/>
      <c r="E3" s="1"/>
      <c r="F3" s="1"/>
      <c r="G3" s="1"/>
      <c r="H3" s="25"/>
      <c r="I3" s="30"/>
      <c r="J3" s="1">
        <v>0</v>
      </c>
      <c r="K3" s="1"/>
      <c r="L3" s="1"/>
      <c r="M3" s="2"/>
      <c r="N3" s="2"/>
      <c r="O3" s="2"/>
      <c r="P3" s="2"/>
      <c r="Q3" s="2"/>
      <c r="R3" s="44">
        <v>0.06</v>
      </c>
      <c r="S3" s="44">
        <v>6.6000000000000003E-2</v>
      </c>
      <c r="T3" s="44"/>
      <c r="U3" s="2"/>
      <c r="V3" s="2"/>
      <c r="W3" s="22"/>
      <c r="X3" s="68"/>
      <c r="Y3" s="1"/>
      <c r="Z3" s="67"/>
      <c r="AA3" s="67"/>
      <c r="AB3" s="67"/>
      <c r="AC3" s="1"/>
      <c r="AD3" s="97"/>
      <c r="AE3" s="99">
        <v>100000000</v>
      </c>
      <c r="AF3" s="10">
        <v>44682</v>
      </c>
      <c r="AG3" s="8">
        <f>AF3+30*12*3</f>
        <v>45762</v>
      </c>
      <c r="AH3" s="11">
        <v>0.06</v>
      </c>
      <c r="AI3" s="95"/>
      <c r="AJ3" s="95"/>
      <c r="AK3" s="53"/>
      <c r="AL3" s="20">
        <v>220000000</v>
      </c>
      <c r="AM3" s="12">
        <v>44682</v>
      </c>
      <c r="AN3" s="9">
        <f>AM3+30*12*1.5</f>
        <v>45222</v>
      </c>
      <c r="AO3" s="1"/>
      <c r="AP3" s="1"/>
      <c r="AQ3" s="1"/>
      <c r="AR3" s="13"/>
    </row>
    <row r="4" spans="1:44" x14ac:dyDescent="0.3">
      <c r="A4" s="26">
        <v>1</v>
      </c>
      <c r="B4" s="7">
        <v>5</v>
      </c>
      <c r="C4" s="93">
        <v>11000000</v>
      </c>
      <c r="D4" s="3">
        <v>10000000</v>
      </c>
      <c r="E4" s="3">
        <v>8000000</v>
      </c>
      <c r="F4" s="3">
        <v>5000000</v>
      </c>
      <c r="G4" s="3">
        <v>5000000</v>
      </c>
      <c r="H4" s="27">
        <v>1000000</v>
      </c>
      <c r="I4" s="31">
        <f t="shared" ref="I4:I39" si="0">SUM(F4:H4)</f>
        <v>11000000</v>
      </c>
      <c r="J4" s="6">
        <f>IF(A4=1,IF(E4+J3-I4&gt;=0,E4+0-I4,0),IF(E4+J3-I4&gt;=0,E4+J3-I4,0))</f>
        <v>0</v>
      </c>
      <c r="K4" s="6" t="str">
        <f>IF(N4=0,"Dương","Âm")</f>
        <v>Dương</v>
      </c>
      <c r="L4" s="6">
        <f>IF(N4=0,IF(I4&lt;=(J3+E4),C4+D4,C4+D4+(J3+E4-I4)),0)</f>
        <v>18000000</v>
      </c>
      <c r="M4" s="6">
        <f>C4+D4-L4</f>
        <v>3000000</v>
      </c>
      <c r="N4" s="6">
        <f>IF(I4&lt;=(J3+E4+D4+C4),0,I4-(E4+D4+C4+J3))</f>
        <v>0</v>
      </c>
      <c r="O4" s="6" t="str">
        <f>IF(L4-(AP4+AI4)&gt;=0,"Hợp lí","Ko hợp lí")</f>
        <v>Hợp lí</v>
      </c>
      <c r="P4" s="6">
        <f>IF((L4-(AP4+AI4))&gt;=0,0,-(L4-(AP4+AI4)))</f>
        <v>0</v>
      </c>
      <c r="Q4" s="3">
        <v>12</v>
      </c>
      <c r="R4" s="102"/>
      <c r="S4" s="102"/>
      <c r="T4" s="102">
        <f>IF(Q4=0,L4,0)</f>
        <v>0</v>
      </c>
      <c r="U4" s="85">
        <v>44682</v>
      </c>
      <c r="V4" s="34">
        <f>IF(U4="","",EDATE(U4,+Q4))</f>
        <v>45047</v>
      </c>
      <c r="W4" s="32">
        <f>IF(Q4=0,"",L4+L4*IF(Q4=6,$R$3,$S$3))</f>
        <v>19188000</v>
      </c>
      <c r="X4" s="69">
        <f>A4+Q4</f>
        <v>13</v>
      </c>
      <c r="Y4" s="66">
        <v>12</v>
      </c>
      <c r="Z4" s="65">
        <f>W4+W4*IF(Y4=6,0.06,0.065)</f>
        <v>20435220</v>
      </c>
      <c r="AA4" s="65">
        <f>X4+Y4</f>
        <v>25</v>
      </c>
      <c r="AB4" s="65">
        <v>12</v>
      </c>
      <c r="AC4" s="66">
        <f>Z4+Z4*(IF((AB4=6),0.06,0.065))</f>
        <v>21763509.300000001</v>
      </c>
      <c r="AD4" s="78">
        <f>AA4+AB4</f>
        <v>37</v>
      </c>
      <c r="AE4" s="81"/>
      <c r="AF4" s="82"/>
      <c r="AG4" s="15"/>
      <c r="AH4" s="15"/>
      <c r="AI4" s="6">
        <f>($AE$3/36)+($AE$3/36)*($AH$3/12)</f>
        <v>2791666.666666667</v>
      </c>
      <c r="AJ4" s="6">
        <f>AK4-$AE$3</f>
        <v>500000</v>
      </c>
      <c r="AK4" s="100">
        <f>$AE$3*($AH$3/12)+$AE$3</f>
        <v>100500000</v>
      </c>
      <c r="AL4" s="15"/>
      <c r="AM4" s="15"/>
      <c r="AN4" s="15"/>
      <c r="AO4" s="3">
        <v>0.01</v>
      </c>
      <c r="AP4" s="6">
        <f>($AL$3/18)+($AL$3/18)*AO4</f>
        <v>12344444.444444444</v>
      </c>
      <c r="AQ4" s="6">
        <f>AR4-$AL$3</f>
        <v>2200000</v>
      </c>
      <c r="AR4" s="100">
        <f>$AL$3+$AL$3*AO4</f>
        <v>222200000</v>
      </c>
    </row>
    <row r="5" spans="1:44" x14ac:dyDescent="0.3">
      <c r="A5" s="26">
        <v>2</v>
      </c>
      <c r="B5" s="7">
        <v>6</v>
      </c>
      <c r="C5" s="93">
        <v>11000000</v>
      </c>
      <c r="D5" s="3">
        <v>10000000</v>
      </c>
      <c r="E5" s="3">
        <v>8000000</v>
      </c>
      <c r="F5" s="3">
        <v>5000000</v>
      </c>
      <c r="G5" s="3">
        <v>1000000</v>
      </c>
      <c r="H5" s="27">
        <v>20000000</v>
      </c>
      <c r="I5" s="31">
        <f>SUM(F5:H5)</f>
        <v>26000000</v>
      </c>
      <c r="J5" s="6">
        <f t="shared" ref="J5:J39" si="1">IF(E5+J4-I5&gt;=0,E5+J4-I5,0)</f>
        <v>0</v>
      </c>
      <c r="K5" s="6" t="str">
        <f>IF(N5=0,"Dương","Âm")</f>
        <v>Dương</v>
      </c>
      <c r="L5" s="6">
        <f>IF(N5=0,IF(I5&lt;=(J4+E5),C5+D5,C5+D5+(J4+E5-I5)),0)</f>
        <v>3000000</v>
      </c>
      <c r="M5" s="6">
        <f t="shared" ref="M5:M39" si="2">C5+D5-L5</f>
        <v>18000000</v>
      </c>
      <c r="N5" s="6">
        <f>IF(I5&lt;=(J4+E5+D5+C5),0,I5-(E5+D5+C5+J4))</f>
        <v>0</v>
      </c>
      <c r="O5" s="6" t="str">
        <f>IF(L5-(AP5+AI5)&gt;=0,"Hợp lí","Ko hợp lí")</f>
        <v>Ko hợp lí</v>
      </c>
      <c r="P5" s="6">
        <f>IF((L5-(AP5+AI5))&gt;=0,0,-(L5-(AP5+AI5)))</f>
        <v>12136111.111111112</v>
      </c>
      <c r="Q5" s="3">
        <v>12</v>
      </c>
      <c r="R5" s="102"/>
      <c r="S5" s="102"/>
      <c r="T5" s="102">
        <f>IF(Q5=0,L5,0)</f>
        <v>0</v>
      </c>
      <c r="U5" s="85">
        <v>44713</v>
      </c>
      <c r="V5" s="34">
        <f t="shared" ref="V5:V12" si="3">IF(U5="","",EDATE(U5,+Q5))</f>
        <v>45078</v>
      </c>
      <c r="W5" s="32">
        <f>IF(Q5=0,"",L5+L5*IF(Q5=6,$R$3,$S$3))</f>
        <v>3198000</v>
      </c>
      <c r="X5" s="69">
        <f>A5+Q5</f>
        <v>14</v>
      </c>
      <c r="Y5" s="66">
        <v>12</v>
      </c>
      <c r="Z5" s="65">
        <f t="shared" ref="Z5:Z27" si="4">W5+W5*IF(Y5=6,0.06,0.065)</f>
        <v>3405870</v>
      </c>
      <c r="AA5" s="65">
        <f t="shared" ref="AA5:AA27" si="5">X5+Y5</f>
        <v>26</v>
      </c>
      <c r="AB5" s="65">
        <v>12</v>
      </c>
      <c r="AC5" s="66">
        <f t="shared" ref="AC5:AC15" si="6">Z5+Z5*(IF((AB5=6),0.06,0.065))</f>
        <v>3627251.55</v>
      </c>
      <c r="AD5" s="78">
        <f t="shared" ref="AD5:AD15" si="7">AA5+AB5</f>
        <v>38</v>
      </c>
      <c r="AE5" s="14"/>
      <c r="AF5" s="15"/>
      <c r="AG5" s="15"/>
      <c r="AH5" s="15"/>
      <c r="AI5" s="6">
        <f t="shared" ref="AI5:AI39" si="8">($AE$3/36)+($AE$3/36)*($AH$3/12)</f>
        <v>2791666.666666667</v>
      </c>
      <c r="AJ5" s="6">
        <f t="shared" ref="AJ5:AJ38" si="9">AK5-$AE$3</f>
        <v>1000000</v>
      </c>
      <c r="AK5" s="100">
        <f t="shared" ref="AK5:AK39" si="10">$AE$3*($AH$3/12)+AK4</f>
        <v>101000000</v>
      </c>
      <c r="AL5" s="15"/>
      <c r="AM5" s="15"/>
      <c r="AN5" s="15"/>
      <c r="AO5" s="3">
        <v>0.01</v>
      </c>
      <c r="AP5" s="6">
        <f t="shared" ref="AP5:AP21" si="11">($AL$3/18)+($AL$3/18)*AO5</f>
        <v>12344444.444444444</v>
      </c>
      <c r="AQ5" s="6">
        <f t="shared" ref="AQ5:AQ21" si="12">AR5-$AL$3</f>
        <v>4400000</v>
      </c>
      <c r="AR5" s="100">
        <f>$AL$3*AO5+AR4</f>
        <v>224400000</v>
      </c>
    </row>
    <row r="6" spans="1:44" x14ac:dyDescent="0.3">
      <c r="A6" s="26">
        <v>3</v>
      </c>
      <c r="B6" s="7">
        <v>7</v>
      </c>
      <c r="C6" s="93">
        <v>11000000</v>
      </c>
      <c r="D6" s="3">
        <v>10000000</v>
      </c>
      <c r="E6" s="3">
        <v>8000000</v>
      </c>
      <c r="F6" s="3">
        <v>5000000</v>
      </c>
      <c r="G6" s="3">
        <v>1000000</v>
      </c>
      <c r="H6" s="27">
        <v>1000000</v>
      </c>
      <c r="I6" s="31">
        <f>SUM(F6:H6)</f>
        <v>7000000</v>
      </c>
      <c r="J6" s="6">
        <f t="shared" si="1"/>
        <v>1000000</v>
      </c>
      <c r="K6" s="6" t="str">
        <f>IF(N6=0,"Dương","Âm")</f>
        <v>Dương</v>
      </c>
      <c r="L6" s="6">
        <f>IF(N6=0,IF(I6&lt;=(J5+E6),C6+D6,C6+D6+(J5+E6-I6)),0)</f>
        <v>21000000</v>
      </c>
      <c r="M6" s="6">
        <f t="shared" si="2"/>
        <v>0</v>
      </c>
      <c r="N6" s="6">
        <f>IF(I6&lt;=(J5+E6+D6+C6),0,I6-(E6+D6+C6+J5))</f>
        <v>0</v>
      </c>
      <c r="O6" s="6" t="str">
        <f>IF(L6-(AP6+AI6)&gt;=0,"Hợp lí","Ko hợp lí")</f>
        <v>Hợp lí</v>
      </c>
      <c r="P6" s="6">
        <f t="shared" ref="P6:P29" si="13">IF((L6-(AP6+AI6))&gt;=0,0,-(L6-(AP6+AI6)))</f>
        <v>0</v>
      </c>
      <c r="Q6" s="3">
        <v>12</v>
      </c>
      <c r="R6" s="102"/>
      <c r="S6" s="102"/>
      <c r="T6" s="102">
        <f>IF(Q6=0,L6,0)</f>
        <v>0</v>
      </c>
      <c r="U6" s="85">
        <v>44743</v>
      </c>
      <c r="V6" s="34">
        <f t="shared" si="3"/>
        <v>45108</v>
      </c>
      <c r="W6" s="32">
        <f>IF(Q6=0,"",L6+L6*IF(Q6=6,$R$3,$S$3))</f>
        <v>22386000</v>
      </c>
      <c r="X6" s="69">
        <f>A6+Q6</f>
        <v>15</v>
      </c>
      <c r="Y6" s="66">
        <v>12</v>
      </c>
      <c r="Z6" s="65">
        <f t="shared" si="4"/>
        <v>23841090</v>
      </c>
      <c r="AA6" s="65">
        <f t="shared" si="5"/>
        <v>27</v>
      </c>
      <c r="AB6" s="65">
        <v>12</v>
      </c>
      <c r="AC6" s="66">
        <f t="shared" si="6"/>
        <v>25390760.850000001</v>
      </c>
      <c r="AD6" s="78">
        <f t="shared" si="7"/>
        <v>39</v>
      </c>
      <c r="AE6" s="14"/>
      <c r="AF6" s="15"/>
      <c r="AG6" s="15"/>
      <c r="AH6" s="15"/>
      <c r="AI6" s="6">
        <f t="shared" si="8"/>
        <v>2791666.666666667</v>
      </c>
      <c r="AJ6" s="6">
        <f t="shared" si="9"/>
        <v>1500000</v>
      </c>
      <c r="AK6" s="100">
        <f t="shared" si="10"/>
        <v>101500000</v>
      </c>
      <c r="AL6" s="15"/>
      <c r="AM6" s="15"/>
      <c r="AN6" s="15"/>
      <c r="AO6" s="3">
        <v>0.01</v>
      </c>
      <c r="AP6" s="6">
        <f t="shared" si="11"/>
        <v>12344444.444444444</v>
      </c>
      <c r="AQ6" s="6">
        <f t="shared" si="12"/>
        <v>6600000</v>
      </c>
      <c r="AR6" s="100">
        <f t="shared" ref="AR6:AR21" si="14">$AL$3*AO6+AR5</f>
        <v>226600000</v>
      </c>
    </row>
    <row r="7" spans="1:44" x14ac:dyDescent="0.3">
      <c r="A7" s="26">
        <v>4</v>
      </c>
      <c r="B7" s="7">
        <v>8</v>
      </c>
      <c r="C7" s="93">
        <v>11000000</v>
      </c>
      <c r="D7" s="3">
        <v>10000000</v>
      </c>
      <c r="E7" s="3">
        <v>8000000</v>
      </c>
      <c r="F7" s="3">
        <v>5000000</v>
      </c>
      <c r="G7" s="3">
        <v>1000000</v>
      </c>
      <c r="H7" s="27">
        <v>1000000</v>
      </c>
      <c r="I7" s="31">
        <f t="shared" si="0"/>
        <v>7000000</v>
      </c>
      <c r="J7" s="6">
        <f t="shared" si="1"/>
        <v>2000000</v>
      </c>
      <c r="K7" s="6" t="str">
        <f>IF(N7=0,"Dương","Âm")</f>
        <v>Dương</v>
      </c>
      <c r="L7" s="6">
        <f>IF(N7=0,IF(I7&lt;=(J6+E7),C7+D7,C7+D7+(J6+E7-I7)),0)</f>
        <v>21000000</v>
      </c>
      <c r="M7" s="6">
        <f t="shared" si="2"/>
        <v>0</v>
      </c>
      <c r="N7" s="6">
        <f>IF(I7&lt;=(J6+E7+D7+C7),0,I7-(E7+D7+C7+J6))</f>
        <v>0</v>
      </c>
      <c r="O7" s="6" t="str">
        <f>IF(L7-(AP7+AI7)&gt;=0,"Hợp lí","Ko hợp lí")</f>
        <v>Hợp lí</v>
      </c>
      <c r="P7" s="6">
        <f t="shared" si="13"/>
        <v>0</v>
      </c>
      <c r="Q7" s="3">
        <v>12</v>
      </c>
      <c r="R7" s="102"/>
      <c r="S7" s="102"/>
      <c r="T7" s="102">
        <f>IF(Q7=0,L7,0)</f>
        <v>0</v>
      </c>
      <c r="U7" s="85">
        <v>44774</v>
      </c>
      <c r="V7" s="34">
        <f t="shared" si="3"/>
        <v>45139</v>
      </c>
      <c r="W7" s="32">
        <f>IF(Q7=0,"",L7+L7*IF(Q7=6,$R$3,$S$3))</f>
        <v>22386000</v>
      </c>
      <c r="X7" s="69">
        <f>A7+Q7</f>
        <v>16</v>
      </c>
      <c r="Y7" s="66">
        <v>12</v>
      </c>
      <c r="Z7" s="65">
        <f t="shared" si="4"/>
        <v>23841090</v>
      </c>
      <c r="AA7" s="65">
        <f t="shared" si="5"/>
        <v>28</v>
      </c>
      <c r="AB7" s="65">
        <v>12</v>
      </c>
      <c r="AC7" s="66">
        <f t="shared" si="6"/>
        <v>25390760.850000001</v>
      </c>
      <c r="AD7" s="78">
        <f t="shared" si="7"/>
        <v>40</v>
      </c>
      <c r="AE7" s="14"/>
      <c r="AF7" s="15"/>
      <c r="AG7" s="15"/>
      <c r="AH7" s="15"/>
      <c r="AI7" s="6">
        <f t="shared" si="8"/>
        <v>2791666.666666667</v>
      </c>
      <c r="AJ7" s="6">
        <f t="shared" si="9"/>
        <v>2000000</v>
      </c>
      <c r="AK7" s="100">
        <f t="shared" si="10"/>
        <v>102000000</v>
      </c>
      <c r="AL7" s="15"/>
      <c r="AM7" s="15"/>
      <c r="AN7" s="15"/>
      <c r="AO7" s="3">
        <v>0.01</v>
      </c>
      <c r="AP7" s="6">
        <f t="shared" si="11"/>
        <v>12344444.444444444</v>
      </c>
      <c r="AQ7" s="6">
        <f t="shared" si="12"/>
        <v>8800000</v>
      </c>
      <c r="AR7" s="100">
        <f t="shared" si="14"/>
        <v>228800000</v>
      </c>
    </row>
    <row r="8" spans="1:44" x14ac:dyDescent="0.3">
      <c r="A8" s="26">
        <v>5</v>
      </c>
      <c r="B8" s="7">
        <v>9</v>
      </c>
      <c r="C8" s="93">
        <v>11000000</v>
      </c>
      <c r="D8" s="3">
        <v>10000000</v>
      </c>
      <c r="E8" s="3">
        <v>8000000</v>
      </c>
      <c r="F8" s="3">
        <v>5000000</v>
      </c>
      <c r="G8" s="3">
        <v>1000000</v>
      </c>
      <c r="H8" s="27">
        <v>1000000</v>
      </c>
      <c r="I8" s="31">
        <f t="shared" si="0"/>
        <v>7000000</v>
      </c>
      <c r="J8" s="6">
        <f t="shared" si="1"/>
        <v>3000000</v>
      </c>
      <c r="K8" s="6" t="str">
        <f>IF(N8=0,"Dương","Âm")</f>
        <v>Dương</v>
      </c>
      <c r="L8" s="6">
        <f>IF(N8=0,IF(I8&lt;=(J7+E8),C8+D8,C8+D8+(J7+E8-I8)),0)</f>
        <v>21000000</v>
      </c>
      <c r="M8" s="6">
        <f t="shared" si="2"/>
        <v>0</v>
      </c>
      <c r="N8" s="6">
        <f>IF(I8&lt;=(J7+E8+D8+C8),0,I8-(E8+D8+C8+J7))</f>
        <v>0</v>
      </c>
      <c r="O8" s="6" t="str">
        <f>IF(L8-(AP8+AI8)&gt;=0,"Hợp lí","Ko hợp lí")</f>
        <v>Hợp lí</v>
      </c>
      <c r="P8" s="6">
        <f t="shared" si="13"/>
        <v>0</v>
      </c>
      <c r="Q8" s="3">
        <v>12</v>
      </c>
      <c r="R8" s="102"/>
      <c r="S8" s="102"/>
      <c r="T8" s="102">
        <f>IF(Q8=0,L8,0)</f>
        <v>0</v>
      </c>
      <c r="U8" s="85">
        <v>44805</v>
      </c>
      <c r="V8" s="34">
        <f t="shared" si="3"/>
        <v>45170</v>
      </c>
      <c r="W8" s="32">
        <f>IF(Q8=0,"",L8+L8*IF(Q8=6,$R$3,$S$3))</f>
        <v>22386000</v>
      </c>
      <c r="X8" s="69">
        <f>A8+Q8</f>
        <v>17</v>
      </c>
      <c r="Y8" s="66">
        <v>12</v>
      </c>
      <c r="Z8" s="65">
        <f t="shared" si="4"/>
        <v>23841090</v>
      </c>
      <c r="AA8" s="65">
        <f t="shared" si="5"/>
        <v>29</v>
      </c>
      <c r="AB8" s="65">
        <v>12</v>
      </c>
      <c r="AC8" s="66">
        <f t="shared" si="6"/>
        <v>25390760.850000001</v>
      </c>
      <c r="AD8" s="78">
        <f t="shared" si="7"/>
        <v>41</v>
      </c>
      <c r="AE8" s="14"/>
      <c r="AF8" s="15"/>
      <c r="AG8" s="15"/>
      <c r="AH8" s="15"/>
      <c r="AI8" s="6">
        <f t="shared" si="8"/>
        <v>2791666.666666667</v>
      </c>
      <c r="AJ8" s="6">
        <f t="shared" si="9"/>
        <v>2500000</v>
      </c>
      <c r="AK8" s="100">
        <f t="shared" si="10"/>
        <v>102500000</v>
      </c>
      <c r="AL8" s="15"/>
      <c r="AM8" s="15"/>
      <c r="AN8" s="15"/>
      <c r="AO8" s="3">
        <v>0.01</v>
      </c>
      <c r="AP8" s="6">
        <f t="shared" si="11"/>
        <v>12344444.444444444</v>
      </c>
      <c r="AQ8" s="6">
        <f t="shared" si="12"/>
        <v>11000000</v>
      </c>
      <c r="AR8" s="100">
        <f t="shared" si="14"/>
        <v>231000000</v>
      </c>
    </row>
    <row r="9" spans="1:44" x14ac:dyDescent="0.3">
      <c r="A9" s="26">
        <v>6</v>
      </c>
      <c r="B9" s="7">
        <v>10</v>
      </c>
      <c r="C9" s="93">
        <v>11000000</v>
      </c>
      <c r="D9" s="3">
        <v>10000000</v>
      </c>
      <c r="E9" s="3">
        <v>8000000</v>
      </c>
      <c r="F9" s="3">
        <v>5000000</v>
      </c>
      <c r="G9" s="3">
        <v>1000000</v>
      </c>
      <c r="H9" s="27">
        <v>1000000</v>
      </c>
      <c r="I9" s="31">
        <f t="shared" si="0"/>
        <v>7000000</v>
      </c>
      <c r="J9" s="6">
        <f t="shared" si="1"/>
        <v>4000000</v>
      </c>
      <c r="K9" s="6" t="str">
        <f>IF(N9=0,"Dương","Âm")</f>
        <v>Dương</v>
      </c>
      <c r="L9" s="6">
        <f>IF(N9=0,IF(I9&lt;=(J8+E9),C9+D9,C9+D9+(J8+E9-I9)),0)</f>
        <v>21000000</v>
      </c>
      <c r="M9" s="6">
        <f t="shared" si="2"/>
        <v>0</v>
      </c>
      <c r="N9" s="6">
        <f>IF(I9&lt;=(J8+E9+D9+C9),0,I9-(E9+D9+C9+J8))</f>
        <v>0</v>
      </c>
      <c r="O9" s="6" t="str">
        <f>IF(L9-(AP9+AI9)&gt;=0,"Hợp lí","Ko hợp lí")</f>
        <v>Hợp lí</v>
      </c>
      <c r="P9" s="6">
        <f t="shared" si="13"/>
        <v>0</v>
      </c>
      <c r="Q9" s="3">
        <v>12</v>
      </c>
      <c r="R9" s="102"/>
      <c r="S9" s="102"/>
      <c r="T9" s="102">
        <f>IF(Q9=0,L9,0)</f>
        <v>0</v>
      </c>
      <c r="U9" s="85">
        <v>44835</v>
      </c>
      <c r="V9" s="34">
        <f t="shared" si="3"/>
        <v>45200</v>
      </c>
      <c r="W9" s="32">
        <f>IF(Q9=0,"",L9+L9*IF(Q9=6,$R$3,$S$3))</f>
        <v>22386000</v>
      </c>
      <c r="X9" s="69">
        <f>A9+Q9</f>
        <v>18</v>
      </c>
      <c r="Y9" s="66">
        <v>12</v>
      </c>
      <c r="Z9" s="65">
        <f t="shared" si="4"/>
        <v>23841090</v>
      </c>
      <c r="AA9" s="65">
        <f t="shared" si="5"/>
        <v>30</v>
      </c>
      <c r="AB9" s="65">
        <v>12</v>
      </c>
      <c r="AC9" s="66">
        <f t="shared" si="6"/>
        <v>25390760.850000001</v>
      </c>
      <c r="AD9" s="78">
        <f t="shared" si="7"/>
        <v>42</v>
      </c>
      <c r="AE9" s="14"/>
      <c r="AF9" s="15"/>
      <c r="AG9" s="15"/>
      <c r="AH9" s="15"/>
      <c r="AI9" s="6">
        <f t="shared" si="8"/>
        <v>2791666.666666667</v>
      </c>
      <c r="AJ9" s="6">
        <f t="shared" si="9"/>
        <v>3000000</v>
      </c>
      <c r="AK9" s="100">
        <f t="shared" si="10"/>
        <v>103000000</v>
      </c>
      <c r="AL9" s="15"/>
      <c r="AM9" s="15"/>
      <c r="AN9" s="15"/>
      <c r="AO9" s="3">
        <v>0.01</v>
      </c>
      <c r="AP9" s="6">
        <f t="shared" si="11"/>
        <v>12344444.444444444</v>
      </c>
      <c r="AQ9" s="6">
        <f t="shared" si="12"/>
        <v>13200000</v>
      </c>
      <c r="AR9" s="100">
        <f t="shared" si="14"/>
        <v>233200000</v>
      </c>
    </row>
    <row r="10" spans="1:44" x14ac:dyDescent="0.3">
      <c r="A10" s="26">
        <v>7</v>
      </c>
      <c r="B10" s="7">
        <v>11</v>
      </c>
      <c r="C10" s="93">
        <v>11000000</v>
      </c>
      <c r="D10" s="3">
        <v>10000000</v>
      </c>
      <c r="E10" s="3">
        <v>8000000</v>
      </c>
      <c r="F10" s="3">
        <v>5000000</v>
      </c>
      <c r="G10" s="3">
        <v>1000000</v>
      </c>
      <c r="H10" s="27">
        <v>1000000</v>
      </c>
      <c r="I10" s="31">
        <f t="shared" si="0"/>
        <v>7000000</v>
      </c>
      <c r="J10" s="6">
        <f t="shared" si="1"/>
        <v>5000000</v>
      </c>
      <c r="K10" s="6" t="str">
        <f>IF(N10=0,"Dương","Âm")</f>
        <v>Dương</v>
      </c>
      <c r="L10" s="6">
        <f>IF(N10=0,IF(I10&lt;=(J9+E10),C10+D10,C10+D10+(J9+E10-I10)),0)</f>
        <v>21000000</v>
      </c>
      <c r="M10" s="6">
        <f t="shared" si="2"/>
        <v>0</v>
      </c>
      <c r="N10" s="6">
        <f>IF(I10&lt;=(J9+E10+D10+C10),0,I10-(E10+D10+C10+J9))</f>
        <v>0</v>
      </c>
      <c r="O10" s="6" t="str">
        <f>IF(L10-(AP10+AI10)&gt;=0,"Hợp lí","Ko hợp lí")</f>
        <v>Hợp lí</v>
      </c>
      <c r="P10" s="6">
        <f t="shared" si="13"/>
        <v>0</v>
      </c>
      <c r="Q10" s="3">
        <v>12</v>
      </c>
      <c r="R10" s="102"/>
      <c r="S10" s="102"/>
      <c r="T10" s="102">
        <f>IF(Q10=0,L10,0)</f>
        <v>0</v>
      </c>
      <c r="U10" s="85">
        <v>44866</v>
      </c>
      <c r="V10" s="34">
        <f t="shared" si="3"/>
        <v>45231</v>
      </c>
      <c r="W10" s="32">
        <f>IF(Q10=0,"",L10+L10*IF(Q10=6,$R$3,$S$3))</f>
        <v>22386000</v>
      </c>
      <c r="X10" s="69">
        <f>A10+Q10</f>
        <v>19</v>
      </c>
      <c r="Y10" s="66">
        <v>12</v>
      </c>
      <c r="Z10" s="65">
        <f t="shared" si="4"/>
        <v>23841090</v>
      </c>
      <c r="AA10" s="65">
        <f t="shared" si="5"/>
        <v>31</v>
      </c>
      <c r="AB10" s="65">
        <v>12</v>
      </c>
      <c r="AC10" s="66">
        <f t="shared" si="6"/>
        <v>25390760.850000001</v>
      </c>
      <c r="AD10" s="78">
        <f t="shared" si="7"/>
        <v>43</v>
      </c>
      <c r="AE10" s="14"/>
      <c r="AF10" s="15"/>
      <c r="AG10" s="15"/>
      <c r="AH10" s="15"/>
      <c r="AI10" s="6">
        <f t="shared" si="8"/>
        <v>2791666.666666667</v>
      </c>
      <c r="AJ10" s="6">
        <f t="shared" si="9"/>
        <v>3500000</v>
      </c>
      <c r="AK10" s="100">
        <f t="shared" si="10"/>
        <v>103500000</v>
      </c>
      <c r="AL10" s="15"/>
      <c r="AM10" s="15"/>
      <c r="AN10" s="15"/>
      <c r="AO10" s="3">
        <v>0.01</v>
      </c>
      <c r="AP10" s="6">
        <f t="shared" si="11"/>
        <v>12344444.444444444</v>
      </c>
      <c r="AQ10" s="6">
        <f t="shared" si="12"/>
        <v>15400000</v>
      </c>
      <c r="AR10" s="100">
        <f t="shared" si="14"/>
        <v>235400000</v>
      </c>
    </row>
    <row r="11" spans="1:44" ht="15" thickBot="1" x14ac:dyDescent="0.35">
      <c r="A11" s="26">
        <v>8</v>
      </c>
      <c r="B11" s="39">
        <v>12</v>
      </c>
      <c r="C11" s="93">
        <v>11000000</v>
      </c>
      <c r="D11" s="3">
        <v>10000000</v>
      </c>
      <c r="E11" s="3">
        <v>8000000</v>
      </c>
      <c r="F11" s="3">
        <v>5000000</v>
      </c>
      <c r="G11" s="3">
        <v>1000000</v>
      </c>
      <c r="H11" s="27">
        <v>1000000</v>
      </c>
      <c r="I11" s="31">
        <f t="shared" si="0"/>
        <v>7000000</v>
      </c>
      <c r="J11" s="6">
        <f t="shared" si="1"/>
        <v>6000000</v>
      </c>
      <c r="K11" s="6" t="str">
        <f>IF(N11=0,"Dương","Âm")</f>
        <v>Dương</v>
      </c>
      <c r="L11" s="6">
        <f>IF(N11=0,IF(I11&lt;=(J10+E11),C11+D11,C11+D11+(J10+E11-I11)),0)</f>
        <v>21000000</v>
      </c>
      <c r="M11" s="6">
        <f t="shared" si="2"/>
        <v>0</v>
      </c>
      <c r="N11" s="6">
        <f>IF(I11&lt;=(J10+E11+D11+C11),0,I11-(E11+D11+C11+J10))</f>
        <v>0</v>
      </c>
      <c r="O11" s="6" t="str">
        <f>IF(L11-(AP11+AI11)&gt;=0,"Hợp lí","Ko hợp lí")</f>
        <v>Hợp lí</v>
      </c>
      <c r="P11" s="6">
        <f t="shared" si="13"/>
        <v>0</v>
      </c>
      <c r="Q11" s="3">
        <v>12</v>
      </c>
      <c r="R11" s="102"/>
      <c r="S11" s="102"/>
      <c r="T11" s="102">
        <f>IF(Q11=0,L11,0)</f>
        <v>0</v>
      </c>
      <c r="U11" s="85">
        <v>44896</v>
      </c>
      <c r="V11" s="34">
        <f t="shared" si="3"/>
        <v>45261</v>
      </c>
      <c r="W11" s="32">
        <f>IF(Q11=0,"",L11+L11*IF(Q11=6,$R$3,$S$3))</f>
        <v>22386000</v>
      </c>
      <c r="X11" s="69">
        <f>A11+Q11</f>
        <v>20</v>
      </c>
      <c r="Y11" s="66">
        <v>12</v>
      </c>
      <c r="Z11" s="65">
        <f t="shared" si="4"/>
        <v>23841090</v>
      </c>
      <c r="AA11" s="65">
        <f t="shared" si="5"/>
        <v>32</v>
      </c>
      <c r="AB11" s="65">
        <v>12</v>
      </c>
      <c r="AC11" s="66">
        <f t="shared" si="6"/>
        <v>25390760.850000001</v>
      </c>
      <c r="AD11" s="78">
        <f t="shared" si="7"/>
        <v>44</v>
      </c>
      <c r="AE11" s="14"/>
      <c r="AF11" s="15"/>
      <c r="AG11" s="15"/>
      <c r="AH11" s="15"/>
      <c r="AI11" s="6">
        <f t="shared" si="8"/>
        <v>2791666.666666667</v>
      </c>
      <c r="AJ11" s="6">
        <f t="shared" si="9"/>
        <v>4000000</v>
      </c>
      <c r="AK11" s="100">
        <f t="shared" si="10"/>
        <v>104000000</v>
      </c>
      <c r="AL11" s="15"/>
      <c r="AM11" s="15"/>
      <c r="AN11" s="15"/>
      <c r="AO11" s="3">
        <v>0.01</v>
      </c>
      <c r="AP11" s="6">
        <f t="shared" si="11"/>
        <v>12344444.444444444</v>
      </c>
      <c r="AQ11" s="6">
        <f t="shared" si="12"/>
        <v>17600000</v>
      </c>
      <c r="AR11" s="100">
        <f t="shared" si="14"/>
        <v>237600000</v>
      </c>
    </row>
    <row r="12" spans="1:44" ht="15" thickTop="1" x14ac:dyDescent="0.3">
      <c r="A12" s="38">
        <v>9</v>
      </c>
      <c r="B12" s="40">
        <v>1</v>
      </c>
      <c r="C12" s="93">
        <v>11000000</v>
      </c>
      <c r="D12" s="3">
        <v>10000000</v>
      </c>
      <c r="E12" s="3">
        <v>8000000</v>
      </c>
      <c r="F12" s="3">
        <v>5000000</v>
      </c>
      <c r="G12" s="3">
        <v>1000000</v>
      </c>
      <c r="H12" s="27">
        <v>1000000</v>
      </c>
      <c r="I12" s="31">
        <f t="shared" si="0"/>
        <v>7000000</v>
      </c>
      <c r="J12" s="6">
        <f t="shared" si="1"/>
        <v>7000000</v>
      </c>
      <c r="K12" s="6" t="str">
        <f>IF(N12=0,"Dương","Âm")</f>
        <v>Dương</v>
      </c>
      <c r="L12" s="6">
        <f>IF(N12=0,IF(I12&lt;=(J11+E12),C12+D12,C12+D12+(J11+E12-I12)),0)</f>
        <v>21000000</v>
      </c>
      <c r="M12" s="6">
        <f t="shared" si="2"/>
        <v>0</v>
      </c>
      <c r="N12" s="6">
        <f>IF(I12&lt;=(J11+E12+D12+C12),0,I12-(E12+D12+C12+J11))</f>
        <v>0</v>
      </c>
      <c r="O12" s="6" t="str">
        <f>IF(L12-(AP12+AI12)&gt;=0,"Hợp lí","Ko hợp lí")</f>
        <v>Hợp lí</v>
      </c>
      <c r="P12" s="6">
        <f t="shared" si="13"/>
        <v>0</v>
      </c>
      <c r="Q12" s="3">
        <v>12</v>
      </c>
      <c r="R12" s="102"/>
      <c r="S12" s="102"/>
      <c r="T12" s="102">
        <f>IF(Q12=0,L12,0)</f>
        <v>0</v>
      </c>
      <c r="U12" s="85">
        <v>44927</v>
      </c>
      <c r="V12" s="34">
        <f t="shared" si="3"/>
        <v>45292</v>
      </c>
      <c r="W12" s="32">
        <f>IF(Q12=0,"",L12+L12*IF(Q12=6,$R$3,$S$3))</f>
        <v>22386000</v>
      </c>
      <c r="X12" s="69">
        <f>A12+Q12</f>
        <v>21</v>
      </c>
      <c r="Y12" s="66">
        <v>12</v>
      </c>
      <c r="Z12" s="65">
        <f t="shared" si="4"/>
        <v>23841090</v>
      </c>
      <c r="AA12" s="65">
        <f t="shared" si="5"/>
        <v>33</v>
      </c>
      <c r="AB12" s="65">
        <v>12</v>
      </c>
      <c r="AC12" s="66">
        <f t="shared" si="6"/>
        <v>25390760.850000001</v>
      </c>
      <c r="AD12" s="78">
        <f t="shared" si="7"/>
        <v>45</v>
      </c>
      <c r="AE12" s="14"/>
      <c r="AF12" s="15"/>
      <c r="AG12" s="15"/>
      <c r="AH12" s="15"/>
      <c r="AI12" s="6">
        <f t="shared" si="8"/>
        <v>2791666.666666667</v>
      </c>
      <c r="AJ12" s="6">
        <f t="shared" si="9"/>
        <v>4500000</v>
      </c>
      <c r="AK12" s="100">
        <f t="shared" si="10"/>
        <v>104500000</v>
      </c>
      <c r="AL12" s="15"/>
      <c r="AM12" s="15"/>
      <c r="AN12" s="15"/>
      <c r="AO12" s="3">
        <v>0.01</v>
      </c>
      <c r="AP12" s="6">
        <f t="shared" si="11"/>
        <v>12344444.444444444</v>
      </c>
      <c r="AQ12" s="6">
        <f t="shared" si="12"/>
        <v>19800000</v>
      </c>
      <c r="AR12" s="100">
        <f t="shared" si="14"/>
        <v>239800000</v>
      </c>
    </row>
    <row r="13" spans="1:44" x14ac:dyDescent="0.3">
      <c r="A13" s="38">
        <v>10</v>
      </c>
      <c r="B13" s="7">
        <v>2</v>
      </c>
      <c r="C13" s="93">
        <v>11000000</v>
      </c>
      <c r="D13" s="3">
        <v>10000000</v>
      </c>
      <c r="E13" s="3">
        <v>8000000</v>
      </c>
      <c r="F13" s="3">
        <v>5000000</v>
      </c>
      <c r="G13" s="3">
        <v>1000000</v>
      </c>
      <c r="H13" s="27">
        <v>1000000</v>
      </c>
      <c r="I13" s="31">
        <f t="shared" si="0"/>
        <v>7000000</v>
      </c>
      <c r="J13" s="6">
        <f t="shared" si="1"/>
        <v>8000000</v>
      </c>
      <c r="K13" s="6" t="str">
        <f>IF(N13=0,"Dương","Âm")</f>
        <v>Dương</v>
      </c>
      <c r="L13" s="6">
        <f>IF(N13=0,IF(I13&lt;=(J12+E13),C13+D13,C13+D13+(J12+E13-I13)),0)</f>
        <v>21000000</v>
      </c>
      <c r="M13" s="6">
        <f t="shared" si="2"/>
        <v>0</v>
      </c>
      <c r="N13" s="6">
        <f>IF(I13&lt;=(J12+E13+D13+C13),0,I13-(E13+D13+C13+J12))</f>
        <v>0</v>
      </c>
      <c r="O13" s="6" t="str">
        <f>IF(L13-(AP13+AI13)&gt;=0,"Hợp lí","Ko hợp lí")</f>
        <v>Hợp lí</v>
      </c>
      <c r="P13" s="6">
        <f t="shared" si="13"/>
        <v>0</v>
      </c>
      <c r="Q13" s="3">
        <v>12</v>
      </c>
      <c r="R13" s="102"/>
      <c r="S13" s="102"/>
      <c r="T13" s="102">
        <f>IF(Q13=0,L13,0)</f>
        <v>0</v>
      </c>
      <c r="U13" s="85"/>
      <c r="V13" s="34"/>
      <c r="W13" s="32">
        <f>IF(Q13=0,"",L13+L13*IF(Q13=6,$R$3,$S$3))</f>
        <v>22386000</v>
      </c>
      <c r="X13" s="69">
        <f>A13+Q13</f>
        <v>22</v>
      </c>
      <c r="Y13" s="66">
        <v>12</v>
      </c>
      <c r="Z13" s="65">
        <f t="shared" si="4"/>
        <v>23841090</v>
      </c>
      <c r="AA13" s="65">
        <f t="shared" si="5"/>
        <v>34</v>
      </c>
      <c r="AB13" s="65">
        <v>12</v>
      </c>
      <c r="AC13" s="66">
        <f t="shared" si="6"/>
        <v>25390760.850000001</v>
      </c>
      <c r="AD13" s="78">
        <f t="shared" si="7"/>
        <v>46</v>
      </c>
      <c r="AE13" s="14"/>
      <c r="AF13" s="15"/>
      <c r="AG13" s="15"/>
      <c r="AH13" s="15"/>
      <c r="AI13" s="6">
        <f t="shared" si="8"/>
        <v>2791666.666666667</v>
      </c>
      <c r="AJ13" s="6">
        <f t="shared" si="9"/>
        <v>5000000</v>
      </c>
      <c r="AK13" s="100">
        <f t="shared" si="10"/>
        <v>105000000</v>
      </c>
      <c r="AL13" s="15"/>
      <c r="AM13" s="15"/>
      <c r="AN13" s="15"/>
      <c r="AO13" s="3">
        <v>0.01</v>
      </c>
      <c r="AP13" s="6">
        <f t="shared" si="11"/>
        <v>12344444.444444444</v>
      </c>
      <c r="AQ13" s="6">
        <f t="shared" si="12"/>
        <v>22000000</v>
      </c>
      <c r="AR13" s="100">
        <f t="shared" si="14"/>
        <v>242000000</v>
      </c>
    </row>
    <row r="14" spans="1:44" x14ac:dyDescent="0.3">
      <c r="A14" s="38">
        <v>11</v>
      </c>
      <c r="B14" s="7">
        <v>3</v>
      </c>
      <c r="C14" s="93">
        <v>10000000</v>
      </c>
      <c r="D14" s="3">
        <v>10000000</v>
      </c>
      <c r="E14" s="3">
        <v>8000000</v>
      </c>
      <c r="F14" s="3">
        <v>5000000</v>
      </c>
      <c r="G14" s="3">
        <v>1000000</v>
      </c>
      <c r="H14" s="27">
        <v>1000000</v>
      </c>
      <c r="I14" s="31">
        <f t="shared" si="0"/>
        <v>7000000</v>
      </c>
      <c r="J14" s="6">
        <f t="shared" si="1"/>
        <v>9000000</v>
      </c>
      <c r="K14" s="6" t="str">
        <f>IF(N14=0,"Dương","Âm")</f>
        <v>Dương</v>
      </c>
      <c r="L14" s="6">
        <f>IF(N14=0,IF(I14&lt;=(J13+E14),C14+D14,C14+D14+(J13+E14-I14)),0)</f>
        <v>20000000</v>
      </c>
      <c r="M14" s="6">
        <f t="shared" si="2"/>
        <v>0</v>
      </c>
      <c r="N14" s="6">
        <f>IF(I14&lt;=(J13+E14+D14+C14),0,I14-(E14+D14+C14+J13))</f>
        <v>0</v>
      </c>
      <c r="O14" s="6" t="str">
        <f>IF(L14-(AP14+AI14)&gt;=0,"Hợp lí","Ko hợp lí")</f>
        <v>Hợp lí</v>
      </c>
      <c r="P14" s="6">
        <f t="shared" si="13"/>
        <v>0</v>
      </c>
      <c r="Q14" s="3">
        <v>12</v>
      </c>
      <c r="R14" s="102"/>
      <c r="S14" s="102"/>
      <c r="T14" s="102">
        <f>IF(Q14=0,L14,0)</f>
        <v>0</v>
      </c>
      <c r="U14" s="85"/>
      <c r="V14" s="34"/>
      <c r="W14" s="32">
        <f>IF(Q14=0,"",L14+L14*IF(Q14=6,$R$3,$S$3))</f>
        <v>21320000</v>
      </c>
      <c r="X14" s="69">
        <f>A14+Q14</f>
        <v>23</v>
      </c>
      <c r="Y14" s="66">
        <v>12</v>
      </c>
      <c r="Z14" s="65">
        <f t="shared" si="4"/>
        <v>22705800</v>
      </c>
      <c r="AA14" s="65">
        <f t="shared" si="5"/>
        <v>35</v>
      </c>
      <c r="AB14" s="65">
        <v>12</v>
      </c>
      <c r="AC14" s="66">
        <f t="shared" si="6"/>
        <v>24181677</v>
      </c>
      <c r="AD14" s="78">
        <f t="shared" si="7"/>
        <v>47</v>
      </c>
      <c r="AE14" s="14"/>
      <c r="AF14" s="15"/>
      <c r="AG14" s="15"/>
      <c r="AH14" s="15"/>
      <c r="AI14" s="6">
        <f t="shared" si="8"/>
        <v>2791666.666666667</v>
      </c>
      <c r="AJ14" s="6">
        <f t="shared" si="9"/>
        <v>5500000</v>
      </c>
      <c r="AK14" s="100">
        <f t="shared" si="10"/>
        <v>105500000</v>
      </c>
      <c r="AL14" s="15"/>
      <c r="AM14" s="15"/>
      <c r="AN14" s="15"/>
      <c r="AO14" s="3">
        <v>0.01</v>
      </c>
      <c r="AP14" s="6">
        <f t="shared" si="11"/>
        <v>12344444.444444444</v>
      </c>
      <c r="AQ14" s="6">
        <f t="shared" si="12"/>
        <v>24200000</v>
      </c>
      <c r="AR14" s="100">
        <f t="shared" si="14"/>
        <v>244200000</v>
      </c>
    </row>
    <row r="15" spans="1:44" ht="15" thickBot="1" x14ac:dyDescent="0.35">
      <c r="A15" s="38">
        <v>12</v>
      </c>
      <c r="B15" s="7">
        <v>4</v>
      </c>
      <c r="C15" s="93">
        <v>10000000</v>
      </c>
      <c r="D15" s="3">
        <v>10000000</v>
      </c>
      <c r="E15" s="3">
        <v>8000000</v>
      </c>
      <c r="F15" s="3">
        <v>5000000</v>
      </c>
      <c r="G15" s="3">
        <v>1000000</v>
      </c>
      <c r="H15" s="27">
        <v>1000000</v>
      </c>
      <c r="I15" s="31">
        <f t="shared" si="0"/>
        <v>7000000</v>
      </c>
      <c r="J15" s="6">
        <f t="shared" si="1"/>
        <v>10000000</v>
      </c>
      <c r="K15" s="6" t="str">
        <f>IF(N15=0,"Dương","Âm")</f>
        <v>Dương</v>
      </c>
      <c r="L15" s="6">
        <f>IF(N15=0,IF(I15&lt;=(J14+E15),C15+D15,C15+D15+(J14+E15-I15)),0)</f>
        <v>20000000</v>
      </c>
      <c r="M15" s="6">
        <f t="shared" si="2"/>
        <v>0</v>
      </c>
      <c r="N15" s="6">
        <f>IF(I15&lt;=(J14+E15+D15+C15),0,I15-(E15+D15+C15+J14))</f>
        <v>0</v>
      </c>
      <c r="O15" s="6" t="str">
        <f>IF(L15-(AP15+AI15)&gt;=0,"Hợp lí","Ko hợp lí")</f>
        <v>Hợp lí</v>
      </c>
      <c r="P15" s="6">
        <f t="shared" si="13"/>
        <v>0</v>
      </c>
      <c r="Q15" s="3">
        <v>12</v>
      </c>
      <c r="R15" s="102"/>
      <c r="S15" s="102"/>
      <c r="T15" s="102">
        <f>IF(Q15=0,L15,0)</f>
        <v>0</v>
      </c>
      <c r="U15" s="85"/>
      <c r="V15" s="34"/>
      <c r="W15" s="32">
        <f>IF(Q15=0,"",L15+L15*IF(Q15=6,$R$3,$S$3))</f>
        <v>21320000</v>
      </c>
      <c r="X15" s="69">
        <f>A15+Q15</f>
        <v>24</v>
      </c>
      <c r="Y15" s="66">
        <v>12</v>
      </c>
      <c r="Z15" s="65">
        <f t="shared" si="4"/>
        <v>22705800</v>
      </c>
      <c r="AA15" s="75">
        <f t="shared" si="5"/>
        <v>36</v>
      </c>
      <c r="AB15" s="75">
        <v>12</v>
      </c>
      <c r="AC15" s="76">
        <f t="shared" si="6"/>
        <v>24181677</v>
      </c>
      <c r="AD15" s="79">
        <f t="shared" si="7"/>
        <v>48</v>
      </c>
      <c r="AE15" s="14"/>
      <c r="AF15" s="15"/>
      <c r="AG15" s="15"/>
      <c r="AH15" s="15"/>
      <c r="AI15" s="6">
        <f t="shared" si="8"/>
        <v>2791666.666666667</v>
      </c>
      <c r="AJ15" s="6">
        <f t="shared" si="9"/>
        <v>6000000</v>
      </c>
      <c r="AK15" s="100">
        <f t="shared" si="10"/>
        <v>106000000</v>
      </c>
      <c r="AL15" s="15"/>
      <c r="AM15" s="15"/>
      <c r="AN15" s="15"/>
      <c r="AO15" s="3">
        <v>0.01</v>
      </c>
      <c r="AP15" s="6">
        <f t="shared" si="11"/>
        <v>12344444.444444444</v>
      </c>
      <c r="AQ15" s="6">
        <f t="shared" si="12"/>
        <v>26400000</v>
      </c>
      <c r="AR15" s="100">
        <f t="shared" si="14"/>
        <v>246400000</v>
      </c>
    </row>
    <row r="16" spans="1:44" x14ac:dyDescent="0.3">
      <c r="A16" s="38">
        <v>13</v>
      </c>
      <c r="B16" s="7">
        <v>5</v>
      </c>
      <c r="C16" s="93">
        <v>10000000</v>
      </c>
      <c r="D16" s="3">
        <v>10000000</v>
      </c>
      <c r="E16" s="3">
        <v>8000000</v>
      </c>
      <c r="F16" s="3">
        <v>5000000</v>
      </c>
      <c r="G16" s="3">
        <v>1000000</v>
      </c>
      <c r="H16" s="27">
        <v>1000000</v>
      </c>
      <c r="I16" s="31">
        <f t="shared" si="0"/>
        <v>7000000</v>
      </c>
      <c r="J16" s="6">
        <f t="shared" si="1"/>
        <v>11000000</v>
      </c>
      <c r="K16" s="6" t="str">
        <f>IF(N16=0,"Dương","Âm")</f>
        <v>Dương</v>
      </c>
      <c r="L16" s="6">
        <f>IF(N16=0,IF(I16&lt;=(J15+E16),C16+D16,C16+D16+(J15+E16-I16)),0)</f>
        <v>20000000</v>
      </c>
      <c r="M16" s="6">
        <f t="shared" si="2"/>
        <v>0</v>
      </c>
      <c r="N16" s="6">
        <f>IF(I16&lt;=(J15+E16+D16+C16),0,I16-(E16+D16+C16+J15))</f>
        <v>0</v>
      </c>
      <c r="O16" s="6" t="str">
        <f>IF(L16-(AP16+AI16)&gt;=0,"Hợp lí","Ko hợp lí")</f>
        <v>Hợp lí</v>
      </c>
      <c r="P16" s="6">
        <f t="shared" si="13"/>
        <v>0</v>
      </c>
      <c r="Q16" s="3">
        <v>6</v>
      </c>
      <c r="R16" s="102"/>
      <c r="S16" s="102"/>
      <c r="T16" s="102">
        <f>IF(Q16=0,L16,0)</f>
        <v>0</v>
      </c>
      <c r="U16" s="85"/>
      <c r="V16" s="34"/>
      <c r="W16" s="32">
        <f>IF(Q16=0,"",L16+L16*IF(Q16=6,$R$3,$S$3))</f>
        <v>21200000</v>
      </c>
      <c r="X16" s="69">
        <f>A16+Q16</f>
        <v>19</v>
      </c>
      <c r="Y16" s="66">
        <v>12</v>
      </c>
      <c r="Z16" s="65">
        <f t="shared" si="4"/>
        <v>22578000</v>
      </c>
      <c r="AA16" s="74">
        <f t="shared" si="5"/>
        <v>31</v>
      </c>
      <c r="AB16" s="74"/>
      <c r="AC16" s="70"/>
      <c r="AD16" s="80"/>
      <c r="AE16" s="14"/>
      <c r="AF16" s="15"/>
      <c r="AG16" s="15"/>
      <c r="AH16" s="15"/>
      <c r="AI16" s="6">
        <f t="shared" si="8"/>
        <v>2791666.666666667</v>
      </c>
      <c r="AJ16" s="6">
        <f t="shared" si="9"/>
        <v>6500000</v>
      </c>
      <c r="AK16" s="100">
        <f t="shared" si="10"/>
        <v>106500000</v>
      </c>
      <c r="AL16" s="15"/>
      <c r="AM16" s="15"/>
      <c r="AN16" s="15"/>
      <c r="AO16" s="3">
        <v>0.01</v>
      </c>
      <c r="AP16" s="6">
        <f>($AL$3/18)+($AL$3/18)*AO16</f>
        <v>12344444.444444444</v>
      </c>
      <c r="AQ16" s="6">
        <f t="shared" si="12"/>
        <v>28600000</v>
      </c>
      <c r="AR16" s="100">
        <f t="shared" si="14"/>
        <v>248600000</v>
      </c>
    </row>
    <row r="17" spans="1:44" x14ac:dyDescent="0.3">
      <c r="A17" s="38">
        <v>14</v>
      </c>
      <c r="B17" s="7">
        <v>6</v>
      </c>
      <c r="C17" s="93">
        <v>10000000</v>
      </c>
      <c r="D17" s="3">
        <v>10000000</v>
      </c>
      <c r="E17" s="3">
        <v>8000000</v>
      </c>
      <c r="F17" s="3">
        <v>5000000</v>
      </c>
      <c r="G17" s="3">
        <v>1000000</v>
      </c>
      <c r="H17" s="27">
        <v>1000000</v>
      </c>
      <c r="I17" s="31">
        <f t="shared" si="0"/>
        <v>7000000</v>
      </c>
      <c r="J17" s="6">
        <f t="shared" si="1"/>
        <v>12000000</v>
      </c>
      <c r="K17" s="6" t="str">
        <f>IF(N17=0,"Dương","Âm")</f>
        <v>Dương</v>
      </c>
      <c r="L17" s="6">
        <f>IF(N17=0,IF(I17&lt;=(J16+E17),C17+D17,C17+D17+(J16+E17-I17)),0)</f>
        <v>20000000</v>
      </c>
      <c r="M17" s="6">
        <f t="shared" si="2"/>
        <v>0</v>
      </c>
      <c r="N17" s="6">
        <f>IF(I17&lt;=(J16+E17+D17+C17),0,I17-(E17+D17+C17+J16))</f>
        <v>0</v>
      </c>
      <c r="O17" s="6" t="str">
        <f>IF(L17-(AP17+AI17)&gt;=0,"Hợp lí","Ko hợp lí")</f>
        <v>Hợp lí</v>
      </c>
      <c r="P17" s="6">
        <f t="shared" si="13"/>
        <v>0</v>
      </c>
      <c r="Q17" s="3">
        <v>6</v>
      </c>
      <c r="R17" s="102"/>
      <c r="S17" s="102"/>
      <c r="T17" s="102">
        <f>IF(Q17=0,L17,0)</f>
        <v>0</v>
      </c>
      <c r="U17" s="85"/>
      <c r="V17" s="34"/>
      <c r="W17" s="32">
        <f>IF(Q17=0,"",L17+L17*IF(Q17=6,$R$3,$S$3))</f>
        <v>21200000</v>
      </c>
      <c r="X17" s="69">
        <f>A17+Q17</f>
        <v>20</v>
      </c>
      <c r="Y17" s="66">
        <v>12</v>
      </c>
      <c r="Z17" s="65">
        <f t="shared" si="4"/>
        <v>22578000</v>
      </c>
      <c r="AA17" s="65">
        <f t="shared" si="5"/>
        <v>32</v>
      </c>
      <c r="AB17" s="65"/>
      <c r="AC17" s="66"/>
      <c r="AD17" s="78"/>
      <c r="AE17" s="14"/>
      <c r="AF17" s="15"/>
      <c r="AG17" s="15"/>
      <c r="AH17" s="15"/>
      <c r="AI17" s="6">
        <f t="shared" si="8"/>
        <v>2791666.666666667</v>
      </c>
      <c r="AJ17" s="6">
        <f>AK17-$AE$3</f>
        <v>7000000</v>
      </c>
      <c r="AK17" s="100">
        <f t="shared" si="10"/>
        <v>107000000</v>
      </c>
      <c r="AL17" s="15"/>
      <c r="AM17" s="15"/>
      <c r="AN17" s="15"/>
      <c r="AO17" s="3">
        <v>0.01</v>
      </c>
      <c r="AP17" s="6">
        <f t="shared" si="11"/>
        <v>12344444.444444444</v>
      </c>
      <c r="AQ17" s="6">
        <f t="shared" si="12"/>
        <v>30800000</v>
      </c>
      <c r="AR17" s="100">
        <f t="shared" si="14"/>
        <v>250800000</v>
      </c>
    </row>
    <row r="18" spans="1:44" x14ac:dyDescent="0.3">
      <c r="A18" s="38">
        <v>15</v>
      </c>
      <c r="B18" s="7">
        <v>7</v>
      </c>
      <c r="C18" s="93">
        <v>10000000</v>
      </c>
      <c r="D18" s="3">
        <v>10000000</v>
      </c>
      <c r="E18" s="3">
        <v>8000000</v>
      </c>
      <c r="F18" s="3">
        <v>5000000</v>
      </c>
      <c r="G18" s="3">
        <v>1000000</v>
      </c>
      <c r="H18" s="27">
        <v>1000000</v>
      </c>
      <c r="I18" s="31">
        <f t="shared" si="0"/>
        <v>7000000</v>
      </c>
      <c r="J18" s="6">
        <f t="shared" si="1"/>
        <v>13000000</v>
      </c>
      <c r="K18" s="6" t="str">
        <f>IF(N18=0,"Dương","Âm")</f>
        <v>Dương</v>
      </c>
      <c r="L18" s="6">
        <f>IF(N18=0,IF(I18&lt;=(J17+E18),C18+D18,C18+D18+(J17+E18-I18)),0)</f>
        <v>20000000</v>
      </c>
      <c r="M18" s="6">
        <f t="shared" si="2"/>
        <v>0</v>
      </c>
      <c r="N18" s="6">
        <f>IF(I18&lt;=(J17+E18+D18+C18),0,I18-(E18+D18+C18+J17))</f>
        <v>0</v>
      </c>
      <c r="O18" s="6" t="str">
        <f>IF(L18-(AP18+AI18)&gt;=0,"Hợp lí","Ko hợp lí")</f>
        <v>Hợp lí</v>
      </c>
      <c r="P18" s="6">
        <f t="shared" si="13"/>
        <v>0</v>
      </c>
      <c r="Q18" s="3">
        <v>6</v>
      </c>
      <c r="R18" s="102"/>
      <c r="S18" s="102"/>
      <c r="T18" s="102">
        <f>IF(Q18=0,L18,0)</f>
        <v>0</v>
      </c>
      <c r="U18" s="85"/>
      <c r="V18" s="34"/>
      <c r="W18" s="32">
        <f>IF(Q18=0,"",L18+L18*IF(Q18=6,$R$3,$S$3))</f>
        <v>21200000</v>
      </c>
      <c r="X18" s="69">
        <f>A18+Q18</f>
        <v>21</v>
      </c>
      <c r="Y18" s="66">
        <v>12</v>
      </c>
      <c r="Z18" s="65">
        <f t="shared" si="4"/>
        <v>22578000</v>
      </c>
      <c r="AA18" s="65">
        <f t="shared" si="5"/>
        <v>33</v>
      </c>
      <c r="AB18" s="65"/>
      <c r="AC18" s="66"/>
      <c r="AD18" s="78"/>
      <c r="AE18" s="14"/>
      <c r="AF18" s="15"/>
      <c r="AG18" s="15"/>
      <c r="AH18" s="15"/>
      <c r="AI18" s="6">
        <f t="shared" si="8"/>
        <v>2791666.666666667</v>
      </c>
      <c r="AJ18" s="6">
        <f t="shared" si="9"/>
        <v>7500000</v>
      </c>
      <c r="AK18" s="100">
        <f t="shared" si="10"/>
        <v>107500000</v>
      </c>
      <c r="AL18" s="15"/>
      <c r="AM18" s="15"/>
      <c r="AN18" s="15"/>
      <c r="AO18" s="3">
        <v>0.01</v>
      </c>
      <c r="AP18" s="6">
        <f t="shared" si="11"/>
        <v>12344444.444444444</v>
      </c>
      <c r="AQ18" s="6">
        <f t="shared" si="12"/>
        <v>33000000</v>
      </c>
      <c r="AR18" s="100">
        <f t="shared" si="14"/>
        <v>253000000</v>
      </c>
    </row>
    <row r="19" spans="1:44" x14ac:dyDescent="0.3">
      <c r="A19" s="38">
        <v>16</v>
      </c>
      <c r="B19" s="7">
        <v>8</v>
      </c>
      <c r="C19" s="93">
        <v>10000000</v>
      </c>
      <c r="D19" s="3">
        <v>10000000</v>
      </c>
      <c r="E19" s="3">
        <v>8000000</v>
      </c>
      <c r="F19" s="3">
        <v>5000000</v>
      </c>
      <c r="G19" s="3">
        <v>1000000</v>
      </c>
      <c r="H19" s="27">
        <v>1000000</v>
      </c>
      <c r="I19" s="31">
        <f t="shared" si="0"/>
        <v>7000000</v>
      </c>
      <c r="J19" s="6">
        <f t="shared" si="1"/>
        <v>14000000</v>
      </c>
      <c r="K19" s="6" t="str">
        <f>IF(N19=0,"Dương","Âm")</f>
        <v>Dương</v>
      </c>
      <c r="L19" s="6">
        <f>IF(N19=0,IF(I19&lt;=(J18+E19),C19+D19,C19+D19+(J18+E19-I19)),0)</f>
        <v>20000000</v>
      </c>
      <c r="M19" s="6">
        <f t="shared" si="2"/>
        <v>0</v>
      </c>
      <c r="N19" s="6">
        <f>IF(I19&lt;=(J18+E19+D19+C19),0,I19-(E19+D19+C19+J18))</f>
        <v>0</v>
      </c>
      <c r="O19" s="6" t="str">
        <f>IF(L19-(AP19+AI19)&gt;=0,"Hợp lí","Ko hợp lí")</f>
        <v>Hợp lí</v>
      </c>
      <c r="P19" s="6">
        <f t="shared" si="13"/>
        <v>0</v>
      </c>
      <c r="Q19" s="3">
        <v>6</v>
      </c>
      <c r="R19" s="102"/>
      <c r="S19" s="102"/>
      <c r="T19" s="102">
        <f>IF(Q19=0,L19,0)</f>
        <v>0</v>
      </c>
      <c r="U19" s="85"/>
      <c r="V19" s="34"/>
      <c r="W19" s="32">
        <f>IF(Q19=0,"",L19+L19*IF(Q19=6,$R$3,$S$3))</f>
        <v>21200000</v>
      </c>
      <c r="X19" s="69">
        <f>A19+Q19</f>
        <v>22</v>
      </c>
      <c r="Y19" s="66">
        <v>12</v>
      </c>
      <c r="Z19" s="65">
        <f t="shared" si="4"/>
        <v>22578000</v>
      </c>
      <c r="AA19" s="65">
        <f t="shared" si="5"/>
        <v>34</v>
      </c>
      <c r="AB19" s="65"/>
      <c r="AC19" s="66"/>
      <c r="AD19" s="78"/>
      <c r="AE19" s="14"/>
      <c r="AF19" s="15"/>
      <c r="AG19" s="15"/>
      <c r="AH19" s="15"/>
      <c r="AI19" s="6">
        <f t="shared" si="8"/>
        <v>2791666.666666667</v>
      </c>
      <c r="AJ19" s="6">
        <f t="shared" si="9"/>
        <v>8000000</v>
      </c>
      <c r="AK19" s="100">
        <f t="shared" si="10"/>
        <v>108000000</v>
      </c>
      <c r="AL19" s="15"/>
      <c r="AM19" s="15"/>
      <c r="AN19" s="15"/>
      <c r="AO19" s="3">
        <v>0.01</v>
      </c>
      <c r="AP19" s="6">
        <f t="shared" si="11"/>
        <v>12344444.444444444</v>
      </c>
      <c r="AQ19" s="6">
        <f t="shared" si="12"/>
        <v>35200000</v>
      </c>
      <c r="AR19" s="100">
        <f t="shared" si="14"/>
        <v>255200000</v>
      </c>
    </row>
    <row r="20" spans="1:44" ht="15" thickBot="1" x14ac:dyDescent="0.35">
      <c r="A20" s="38">
        <v>17</v>
      </c>
      <c r="B20" s="7">
        <v>9</v>
      </c>
      <c r="C20" s="93">
        <v>10000000</v>
      </c>
      <c r="D20" s="3">
        <v>10000000</v>
      </c>
      <c r="E20" s="3">
        <v>8000000</v>
      </c>
      <c r="F20" s="3">
        <v>5000000</v>
      </c>
      <c r="G20" s="3">
        <v>1000000</v>
      </c>
      <c r="H20" s="27">
        <v>1000000</v>
      </c>
      <c r="I20" s="31">
        <f t="shared" si="0"/>
        <v>7000000</v>
      </c>
      <c r="J20" s="6">
        <f t="shared" si="1"/>
        <v>15000000</v>
      </c>
      <c r="K20" s="6" t="str">
        <f>IF(N20=0,"Dương","Âm")</f>
        <v>Dương</v>
      </c>
      <c r="L20" s="6">
        <f>IF(N20=0,IF(I20&lt;=(J19+E20),C20+D20,C20+D20+(J19+E20-I20)),0)</f>
        <v>20000000</v>
      </c>
      <c r="M20" s="6">
        <f t="shared" si="2"/>
        <v>0</v>
      </c>
      <c r="N20" s="6">
        <f>IF(I20&lt;=(J19+E20+D20+C20),0,I20-(E20+D20+C20+J19))</f>
        <v>0</v>
      </c>
      <c r="O20" s="6" t="str">
        <f>IF(L20-(AP20+AI20)&gt;=0,"Hợp lí","Ko hợp lí")</f>
        <v>Hợp lí</v>
      </c>
      <c r="P20" s="6">
        <f t="shared" si="13"/>
        <v>0</v>
      </c>
      <c r="Q20" s="3">
        <v>6</v>
      </c>
      <c r="R20" s="102"/>
      <c r="S20" s="102"/>
      <c r="T20" s="102">
        <f>IF(Q20=0,L20,0)</f>
        <v>0</v>
      </c>
      <c r="U20" s="85"/>
      <c r="V20" s="34"/>
      <c r="W20" s="32">
        <f>IF(Q20=0,"",L20+L20*IF(Q20=6,$R$3,$S$3))</f>
        <v>21200000</v>
      </c>
      <c r="X20" s="69">
        <f>A20+Q20</f>
        <v>23</v>
      </c>
      <c r="Y20" s="66">
        <v>12</v>
      </c>
      <c r="Z20" s="65">
        <f t="shared" si="4"/>
        <v>22578000</v>
      </c>
      <c r="AA20" s="65">
        <f t="shared" si="5"/>
        <v>35</v>
      </c>
      <c r="AB20" s="65"/>
      <c r="AC20" s="66"/>
      <c r="AD20" s="78"/>
      <c r="AE20" s="14"/>
      <c r="AF20" s="15"/>
      <c r="AG20" s="15"/>
      <c r="AH20" s="15"/>
      <c r="AI20" s="6">
        <f t="shared" si="8"/>
        <v>2791666.666666667</v>
      </c>
      <c r="AJ20" s="6">
        <f t="shared" si="9"/>
        <v>8500000</v>
      </c>
      <c r="AK20" s="100">
        <f t="shared" si="10"/>
        <v>108500000</v>
      </c>
      <c r="AL20" s="15"/>
      <c r="AM20" s="15"/>
      <c r="AN20" s="15"/>
      <c r="AO20" s="3">
        <v>0.01</v>
      </c>
      <c r="AP20" s="6">
        <f t="shared" si="11"/>
        <v>12344444.444444444</v>
      </c>
      <c r="AQ20" s="6">
        <f t="shared" si="12"/>
        <v>37400000</v>
      </c>
      <c r="AR20" s="107">
        <f t="shared" si="14"/>
        <v>257400000</v>
      </c>
    </row>
    <row r="21" spans="1:44" ht="15" thickBot="1" x14ac:dyDescent="0.35">
      <c r="A21" s="38">
        <v>18</v>
      </c>
      <c r="B21" s="7">
        <v>10</v>
      </c>
      <c r="C21" s="93">
        <v>10000000</v>
      </c>
      <c r="D21" s="3">
        <v>10000000</v>
      </c>
      <c r="E21" s="3">
        <v>8000000</v>
      </c>
      <c r="F21" s="3">
        <v>5000000</v>
      </c>
      <c r="G21" s="3">
        <v>1000000</v>
      </c>
      <c r="H21" s="27">
        <v>1000000</v>
      </c>
      <c r="I21" s="31">
        <f t="shared" si="0"/>
        <v>7000000</v>
      </c>
      <c r="J21" s="6">
        <f t="shared" si="1"/>
        <v>16000000</v>
      </c>
      <c r="K21" s="6" t="str">
        <f>IF(N21=0,"Dương","Âm")</f>
        <v>Dương</v>
      </c>
      <c r="L21" s="6">
        <f>IF(N21=0,IF(I21&lt;=(J20+E21),C21+D21,C21+D21+(J20+E21-I21)),0)</f>
        <v>20000000</v>
      </c>
      <c r="M21" s="6">
        <f t="shared" si="2"/>
        <v>0</v>
      </c>
      <c r="N21" s="6">
        <f>IF(I21&lt;=(J20+E21+D21+C21),0,I21-(E21+D21+C21+J20))</f>
        <v>0</v>
      </c>
      <c r="O21" s="6" t="str">
        <f>IF(L21-(AP21+AI21)&gt;=0,"Hợp lí","Ko hợp lí")</f>
        <v>Hợp lí</v>
      </c>
      <c r="P21" s="6">
        <f t="shared" si="13"/>
        <v>0</v>
      </c>
      <c r="Q21" s="3">
        <v>6</v>
      </c>
      <c r="R21" s="102"/>
      <c r="S21" s="102"/>
      <c r="T21" s="102">
        <f>IF(Q21=0,L21,0)</f>
        <v>0</v>
      </c>
      <c r="U21" s="85"/>
      <c r="V21" s="34"/>
      <c r="W21" s="32">
        <f>IF(Q21=0,"",L21+L21*IF(Q21=6,$R$3,$S$3))</f>
        <v>21200000</v>
      </c>
      <c r="X21" s="69">
        <f>A21+Q21</f>
        <v>24</v>
      </c>
      <c r="Y21" s="66">
        <v>12</v>
      </c>
      <c r="Z21" s="65">
        <f t="shared" si="4"/>
        <v>22578000</v>
      </c>
      <c r="AA21" s="65">
        <f t="shared" si="5"/>
        <v>36</v>
      </c>
      <c r="AB21" s="65"/>
      <c r="AC21" s="66"/>
      <c r="AD21" s="78"/>
      <c r="AE21" s="21"/>
      <c r="AF21" s="2"/>
      <c r="AG21" s="2"/>
      <c r="AH21" s="2"/>
      <c r="AI21" s="6">
        <f t="shared" si="8"/>
        <v>2791666.666666667</v>
      </c>
      <c r="AJ21" s="6">
        <f t="shared" si="9"/>
        <v>9000000</v>
      </c>
      <c r="AK21" s="100">
        <f t="shared" si="10"/>
        <v>109000000</v>
      </c>
      <c r="AL21" s="17"/>
      <c r="AM21" s="17"/>
      <c r="AN21" s="17"/>
      <c r="AO21" s="18">
        <v>0.01</v>
      </c>
      <c r="AP21" s="19">
        <f t="shared" si="11"/>
        <v>12344444.444444444</v>
      </c>
      <c r="AQ21" s="6">
        <f t="shared" si="12"/>
        <v>39600000</v>
      </c>
      <c r="AR21" s="105">
        <f t="shared" si="14"/>
        <v>259600000</v>
      </c>
    </row>
    <row r="22" spans="1:44" x14ac:dyDescent="0.3">
      <c r="A22" s="38">
        <v>19</v>
      </c>
      <c r="B22" s="7">
        <v>11</v>
      </c>
      <c r="C22" s="93">
        <v>10000000</v>
      </c>
      <c r="D22" s="3">
        <v>10000000</v>
      </c>
      <c r="E22" s="3">
        <v>8000000</v>
      </c>
      <c r="F22" s="3">
        <v>5000000</v>
      </c>
      <c r="G22" s="3">
        <v>1000000</v>
      </c>
      <c r="H22" s="27">
        <v>1000000</v>
      </c>
      <c r="I22" s="31">
        <f t="shared" si="0"/>
        <v>7000000</v>
      </c>
      <c r="J22" s="6">
        <f t="shared" si="1"/>
        <v>17000000</v>
      </c>
      <c r="K22" s="6" t="str">
        <f>IF(N22=0,"Dương","Âm")</f>
        <v>Dương</v>
      </c>
      <c r="L22" s="6">
        <f>IF(N22=0,IF(I22&lt;=(J21+E22),C22+D22,C22+D22+(J21+E22-I22)),0)</f>
        <v>20000000</v>
      </c>
      <c r="M22" s="6">
        <f t="shared" si="2"/>
        <v>0</v>
      </c>
      <c r="N22" s="6">
        <f>IF(I22&lt;=(J21+E22+D22+C22),0,I22-(E22+D22+C22+J21))</f>
        <v>0</v>
      </c>
      <c r="O22" s="6" t="str">
        <f>IF(L22-(AP22+AI22)&gt;=0,"Hợp lí","Ko hợp lí")</f>
        <v>Hợp lí</v>
      </c>
      <c r="P22" s="6">
        <f t="shared" si="13"/>
        <v>0</v>
      </c>
      <c r="Q22" s="3">
        <v>6</v>
      </c>
      <c r="R22" s="102"/>
      <c r="S22" s="102"/>
      <c r="T22" s="102">
        <f>IF(Q22=0,L22,0)</f>
        <v>0</v>
      </c>
      <c r="U22" s="85"/>
      <c r="V22" s="34"/>
      <c r="W22" s="32">
        <f>IF(Q22=0,"",L22+L22*IF(Q22=6,$R$3,$S$3))</f>
        <v>21200000</v>
      </c>
      <c r="X22" s="69">
        <f>A22+Q22</f>
        <v>25</v>
      </c>
      <c r="Y22" s="66">
        <v>12</v>
      </c>
      <c r="Z22" s="65">
        <f t="shared" si="4"/>
        <v>22578000</v>
      </c>
      <c r="AA22" s="65">
        <f t="shared" si="5"/>
        <v>37</v>
      </c>
      <c r="AB22" s="65"/>
      <c r="AC22" s="66"/>
      <c r="AD22" s="78"/>
      <c r="AE22" s="14"/>
      <c r="AF22" s="15"/>
      <c r="AG22" s="15"/>
      <c r="AH22" s="15"/>
      <c r="AI22" s="6">
        <f t="shared" si="8"/>
        <v>2791666.666666667</v>
      </c>
      <c r="AJ22" s="6">
        <f t="shared" si="9"/>
        <v>9500000</v>
      </c>
      <c r="AK22" s="100">
        <f t="shared" si="10"/>
        <v>109500000</v>
      </c>
      <c r="AQ22" s="2"/>
    </row>
    <row r="23" spans="1:44" ht="15" thickBot="1" x14ac:dyDescent="0.35">
      <c r="A23" s="38">
        <v>20</v>
      </c>
      <c r="B23" s="39">
        <v>12</v>
      </c>
      <c r="C23" s="93">
        <v>10000000</v>
      </c>
      <c r="D23" s="3">
        <v>10000000</v>
      </c>
      <c r="E23" s="3">
        <v>8000000</v>
      </c>
      <c r="F23" s="3">
        <v>5000000</v>
      </c>
      <c r="G23" s="3">
        <v>1000000</v>
      </c>
      <c r="H23" s="27">
        <v>1000000</v>
      </c>
      <c r="I23" s="31">
        <f t="shared" si="0"/>
        <v>7000000</v>
      </c>
      <c r="J23" s="6">
        <f t="shared" si="1"/>
        <v>18000000</v>
      </c>
      <c r="K23" s="6" t="str">
        <f>IF(N23=0,"Dương","Âm")</f>
        <v>Dương</v>
      </c>
      <c r="L23" s="6">
        <f>IF(N23=0,IF(I23&lt;=(J22+E23),C23+D23,C23+D23+(J22+E23-I23)),0)</f>
        <v>20000000</v>
      </c>
      <c r="M23" s="6">
        <f t="shared" si="2"/>
        <v>0</v>
      </c>
      <c r="N23" s="6">
        <f>IF(I23&lt;=(J22+E23+D23+C23),0,I23-(E23+D23+C23+J22))</f>
        <v>0</v>
      </c>
      <c r="O23" s="6" t="str">
        <f>IF(L23-(AP23+AI23)&gt;=0,"Hợp lí","Ko hợp lí")</f>
        <v>Hợp lí</v>
      </c>
      <c r="P23" s="6">
        <f t="shared" si="13"/>
        <v>0</v>
      </c>
      <c r="Q23" s="3">
        <v>6</v>
      </c>
      <c r="R23" s="102"/>
      <c r="S23" s="102"/>
      <c r="T23" s="102">
        <f>IF(Q23=0,L23,0)</f>
        <v>0</v>
      </c>
      <c r="U23" s="85"/>
      <c r="V23" s="34"/>
      <c r="W23" s="32">
        <f>IF(Q23=0,"",L23+L23*IF(Q23=6,$R$3,$S$3))</f>
        <v>21200000</v>
      </c>
      <c r="X23" s="69">
        <f>A23+Q23</f>
        <v>26</v>
      </c>
      <c r="Y23" s="66">
        <v>12</v>
      </c>
      <c r="Z23" s="65">
        <f t="shared" si="4"/>
        <v>22578000</v>
      </c>
      <c r="AA23" s="65">
        <f t="shared" si="5"/>
        <v>38</v>
      </c>
      <c r="AB23" s="65"/>
      <c r="AC23" s="66"/>
      <c r="AD23" s="78"/>
      <c r="AE23" s="14"/>
      <c r="AF23" s="15"/>
      <c r="AG23" s="15"/>
      <c r="AH23" s="15"/>
      <c r="AI23" s="6">
        <f t="shared" si="8"/>
        <v>2791666.666666667</v>
      </c>
      <c r="AJ23" s="6">
        <f t="shared" si="9"/>
        <v>10000000</v>
      </c>
      <c r="AK23" s="100">
        <f t="shared" si="10"/>
        <v>110000000</v>
      </c>
    </row>
    <row r="24" spans="1:44" ht="15" thickTop="1" x14ac:dyDescent="0.3">
      <c r="A24" s="26">
        <v>21</v>
      </c>
      <c r="B24" s="40">
        <v>1</v>
      </c>
      <c r="C24" s="93">
        <v>11000000</v>
      </c>
      <c r="D24" s="3">
        <v>10000000</v>
      </c>
      <c r="E24" s="3">
        <v>8000000</v>
      </c>
      <c r="F24" s="3">
        <v>5000000</v>
      </c>
      <c r="G24" s="3">
        <v>1000000</v>
      </c>
      <c r="H24" s="27">
        <v>1000000</v>
      </c>
      <c r="I24" s="31">
        <f t="shared" si="0"/>
        <v>7000000</v>
      </c>
      <c r="J24" s="6">
        <f t="shared" si="1"/>
        <v>19000000</v>
      </c>
      <c r="K24" s="6" t="str">
        <f>IF(N24=0,"Dương","Âm")</f>
        <v>Dương</v>
      </c>
      <c r="L24" s="6">
        <f>IF(N24=0,IF(I24&lt;=(J23+E24),C24+D24,C24+D24+(J23+E24-I24)),0)</f>
        <v>21000000</v>
      </c>
      <c r="M24" s="6">
        <f t="shared" si="2"/>
        <v>0</v>
      </c>
      <c r="N24" s="6">
        <f>IF(I24&lt;=(J23+E24+D24+C24),0,I24-(E24+D24+C24+J23))</f>
        <v>0</v>
      </c>
      <c r="O24" s="6" t="str">
        <f>IF(L24-(AP24+AI24)&gt;=0,"Hợp lí","Ko hợp lí")</f>
        <v>Hợp lí</v>
      </c>
      <c r="P24" s="6">
        <f t="shared" si="13"/>
        <v>0</v>
      </c>
      <c r="Q24" s="3">
        <v>6</v>
      </c>
      <c r="R24" s="102"/>
      <c r="S24" s="102"/>
      <c r="T24" s="102">
        <f>IF(Q24=0,L24,0)</f>
        <v>0</v>
      </c>
      <c r="U24" s="85"/>
      <c r="V24" s="34"/>
      <c r="W24" s="32">
        <f>IF(Q24=0,"",L24+L24*IF(Q24=6,$R$3,$S$3))</f>
        <v>22260000</v>
      </c>
      <c r="X24" s="69">
        <f>A24+Q24</f>
        <v>27</v>
      </c>
      <c r="Y24" s="66">
        <v>12</v>
      </c>
      <c r="Z24" s="65">
        <f t="shared" si="4"/>
        <v>23706900</v>
      </c>
      <c r="AA24" s="65">
        <f t="shared" si="5"/>
        <v>39</v>
      </c>
      <c r="AB24" s="65"/>
      <c r="AC24" s="66"/>
      <c r="AD24" s="78"/>
      <c r="AE24" s="14"/>
      <c r="AF24" s="15"/>
      <c r="AG24" s="15"/>
      <c r="AH24" s="15"/>
      <c r="AI24" s="6">
        <f t="shared" si="8"/>
        <v>2791666.666666667</v>
      </c>
      <c r="AJ24" s="6">
        <f t="shared" si="9"/>
        <v>10500000</v>
      </c>
      <c r="AK24" s="100">
        <f t="shared" si="10"/>
        <v>110500000</v>
      </c>
    </row>
    <row r="25" spans="1:44" x14ac:dyDescent="0.3">
      <c r="A25" s="26">
        <v>22</v>
      </c>
      <c r="B25" s="7">
        <v>2</v>
      </c>
      <c r="C25" s="93">
        <v>11000000</v>
      </c>
      <c r="D25" s="3">
        <v>10000000</v>
      </c>
      <c r="E25" s="3">
        <v>8000000</v>
      </c>
      <c r="F25" s="3">
        <v>5000000</v>
      </c>
      <c r="G25" s="3">
        <v>1000000</v>
      </c>
      <c r="H25" s="27">
        <v>1000000</v>
      </c>
      <c r="I25" s="31">
        <f t="shared" si="0"/>
        <v>7000000</v>
      </c>
      <c r="J25" s="6">
        <f t="shared" si="1"/>
        <v>20000000</v>
      </c>
      <c r="K25" s="6" t="str">
        <f>IF(N25=0,"Dương","Âm")</f>
        <v>Dương</v>
      </c>
      <c r="L25" s="6">
        <f>IF(N25=0,IF(I25&lt;=(J24+E25),C25+D25,C25+D25+(J24+E25-I25)),0)</f>
        <v>21000000</v>
      </c>
      <c r="M25" s="6">
        <f t="shared" si="2"/>
        <v>0</v>
      </c>
      <c r="N25" s="6">
        <f>IF(I25&lt;=(J24+E25+D25+C25),0,I25-(E25+D25+C25+J24))</f>
        <v>0</v>
      </c>
      <c r="O25" s="6" t="str">
        <f>IF(L25-(AP25+AI25)&gt;=0,"Hợp lí","Ko hợp lí")</f>
        <v>Hợp lí</v>
      </c>
      <c r="P25" s="6">
        <f t="shared" si="13"/>
        <v>0</v>
      </c>
      <c r="Q25" s="3">
        <v>6</v>
      </c>
      <c r="R25" s="102"/>
      <c r="S25" s="102"/>
      <c r="T25" s="102">
        <f>IF(Q25=0,L25,0)</f>
        <v>0</v>
      </c>
      <c r="U25" s="85"/>
      <c r="V25" s="34"/>
      <c r="W25" s="32">
        <f>IF(Q25=0,"",L25+L25*IF(Q25=6,$R$3,$S$3))</f>
        <v>22260000</v>
      </c>
      <c r="X25" s="69">
        <f>A25+Q25</f>
        <v>28</v>
      </c>
      <c r="Y25" s="66">
        <v>12</v>
      </c>
      <c r="Z25" s="65">
        <f t="shared" si="4"/>
        <v>23706900</v>
      </c>
      <c r="AA25" s="65">
        <f t="shared" si="5"/>
        <v>40</v>
      </c>
      <c r="AB25" s="65"/>
      <c r="AC25" s="66"/>
      <c r="AD25" s="78"/>
      <c r="AE25" s="14"/>
      <c r="AF25" s="15"/>
      <c r="AG25" s="15"/>
      <c r="AH25" s="15"/>
      <c r="AI25" s="6">
        <f t="shared" si="8"/>
        <v>2791666.666666667</v>
      </c>
      <c r="AJ25" s="6">
        <f t="shared" si="9"/>
        <v>11000000</v>
      </c>
      <c r="AK25" s="100">
        <f t="shared" si="10"/>
        <v>111000000</v>
      </c>
    </row>
    <row r="26" spans="1:44" x14ac:dyDescent="0.3">
      <c r="A26" s="26">
        <v>23</v>
      </c>
      <c r="B26" s="7">
        <v>3</v>
      </c>
      <c r="C26" s="93">
        <v>11000000</v>
      </c>
      <c r="D26" s="3">
        <v>10000000</v>
      </c>
      <c r="E26" s="3">
        <v>8000000</v>
      </c>
      <c r="F26" s="3">
        <v>5000000</v>
      </c>
      <c r="G26" s="3">
        <v>1000000</v>
      </c>
      <c r="H26" s="27">
        <v>1000000</v>
      </c>
      <c r="I26" s="31">
        <f t="shared" si="0"/>
        <v>7000000</v>
      </c>
      <c r="J26" s="6">
        <f t="shared" si="1"/>
        <v>21000000</v>
      </c>
      <c r="K26" s="6" t="str">
        <f>IF(N26=0,"Dương","Âm")</f>
        <v>Dương</v>
      </c>
      <c r="L26" s="6">
        <f>IF(N26=0,IF(I26&lt;=(J25+E26),C26+D26,C26+D26+(J25+E26-I26)),0)</f>
        <v>21000000</v>
      </c>
      <c r="M26" s="6">
        <f t="shared" si="2"/>
        <v>0</v>
      </c>
      <c r="N26" s="6">
        <f>IF(I26&lt;=(J25+E26+D26+C26),0,I26-(E26+D26+C26+J25))</f>
        <v>0</v>
      </c>
      <c r="O26" s="6" t="str">
        <f>IF(L26-(AP26+AI26)&gt;=0,"Hợp lí","Ko hợp lí")</f>
        <v>Hợp lí</v>
      </c>
      <c r="P26" s="6">
        <f t="shared" si="13"/>
        <v>0</v>
      </c>
      <c r="Q26" s="3">
        <v>6</v>
      </c>
      <c r="R26" s="102"/>
      <c r="S26" s="102"/>
      <c r="T26" s="102">
        <f>IF(Q26=0,L26,0)</f>
        <v>0</v>
      </c>
      <c r="U26" s="85"/>
      <c r="V26" s="34"/>
      <c r="W26" s="32">
        <f>IF(Q26=0,"",L26+L26*IF(Q26=6,$R$3,$S$3))</f>
        <v>22260000</v>
      </c>
      <c r="X26" s="69">
        <f>A26+Q26</f>
        <v>29</v>
      </c>
      <c r="Y26" s="66">
        <v>12</v>
      </c>
      <c r="Z26" s="65">
        <f t="shared" si="4"/>
        <v>23706900</v>
      </c>
      <c r="AA26" s="65">
        <f t="shared" si="5"/>
        <v>41</v>
      </c>
      <c r="AB26" s="65"/>
      <c r="AC26" s="66"/>
      <c r="AD26" s="78"/>
      <c r="AE26" s="14"/>
      <c r="AF26" s="15"/>
      <c r="AG26" s="15"/>
      <c r="AH26" s="15"/>
      <c r="AI26" s="6">
        <f t="shared" si="8"/>
        <v>2791666.666666667</v>
      </c>
      <c r="AJ26" s="6">
        <f>AK26-$AE$3</f>
        <v>11500000</v>
      </c>
      <c r="AK26" s="100">
        <f t="shared" si="10"/>
        <v>111500000</v>
      </c>
    </row>
    <row r="27" spans="1:44" ht="15" thickBot="1" x14ac:dyDescent="0.35">
      <c r="A27" s="26">
        <v>24</v>
      </c>
      <c r="B27" s="7">
        <v>4</v>
      </c>
      <c r="C27" s="93">
        <v>11000000</v>
      </c>
      <c r="D27" s="3">
        <v>10000000</v>
      </c>
      <c r="E27" s="3">
        <v>8000000</v>
      </c>
      <c r="F27" s="3">
        <v>5000000</v>
      </c>
      <c r="G27" s="3">
        <v>1000000</v>
      </c>
      <c r="H27" s="27">
        <v>1000000</v>
      </c>
      <c r="I27" s="31">
        <f t="shared" si="0"/>
        <v>7000000</v>
      </c>
      <c r="J27" s="6">
        <f t="shared" si="1"/>
        <v>22000000</v>
      </c>
      <c r="K27" s="6" t="str">
        <f>IF(N27=0,"Dương","Âm")</f>
        <v>Dương</v>
      </c>
      <c r="L27" s="6">
        <f>IF(N27=0,IF(I27&lt;=(J26+E27),C27+D27,C27+D27+(J26+E27-I27)),0)</f>
        <v>21000000</v>
      </c>
      <c r="M27" s="6">
        <f t="shared" si="2"/>
        <v>0</v>
      </c>
      <c r="N27" s="6">
        <f>IF(I27&lt;=(J26+E27+D27+C27),0,I27-(E27+D27+C27+J26))</f>
        <v>0</v>
      </c>
      <c r="O27" s="6" t="str">
        <f>IF(L27-(AP27+AI27)&gt;=0,"Hợp lí","Ko hợp lí")</f>
        <v>Hợp lí</v>
      </c>
      <c r="P27" s="6">
        <f t="shared" si="13"/>
        <v>0</v>
      </c>
      <c r="Q27" s="3">
        <v>6</v>
      </c>
      <c r="R27" s="102"/>
      <c r="S27" s="102"/>
      <c r="T27" s="102">
        <f>IF(Q27=0,L27,0)</f>
        <v>0</v>
      </c>
      <c r="U27" s="85"/>
      <c r="V27" s="34"/>
      <c r="W27" s="32">
        <f>IF(Q27=0,"",L27+L27*IF(Q27=6,$R$3,$S$3))</f>
        <v>22260000</v>
      </c>
      <c r="X27" s="71">
        <f>A27+Q27</f>
        <v>30</v>
      </c>
      <c r="Y27" s="72">
        <v>12</v>
      </c>
      <c r="Z27" s="73">
        <f t="shared" si="4"/>
        <v>23706900</v>
      </c>
      <c r="AA27" s="65">
        <f t="shared" si="5"/>
        <v>42</v>
      </c>
      <c r="AB27" s="65"/>
      <c r="AC27" s="66"/>
      <c r="AD27" s="78"/>
      <c r="AE27" s="14"/>
      <c r="AF27" s="15"/>
      <c r="AG27" s="15"/>
      <c r="AH27" s="15"/>
      <c r="AI27" s="6">
        <f>($AE$3/36)+($AE$3/36)*($AH$3/12)</f>
        <v>2791666.666666667</v>
      </c>
      <c r="AJ27" s="6">
        <f t="shared" si="9"/>
        <v>12000000</v>
      </c>
      <c r="AK27" s="100">
        <f t="shared" si="10"/>
        <v>112000000</v>
      </c>
    </row>
    <row r="28" spans="1:44" ht="15.6" thickTop="1" thickBot="1" x14ac:dyDescent="0.35">
      <c r="A28" s="26">
        <v>25</v>
      </c>
      <c r="B28" s="7">
        <v>5</v>
      </c>
      <c r="C28" s="93">
        <v>11000000</v>
      </c>
      <c r="D28" s="3">
        <v>10000000</v>
      </c>
      <c r="E28" s="3">
        <v>8000000</v>
      </c>
      <c r="F28" s="3">
        <v>5000000</v>
      </c>
      <c r="G28" s="3">
        <v>1000000</v>
      </c>
      <c r="H28" s="27">
        <v>1000000</v>
      </c>
      <c r="I28" s="31">
        <f t="shared" si="0"/>
        <v>7000000</v>
      </c>
      <c r="J28" s="6">
        <f t="shared" si="1"/>
        <v>23000000</v>
      </c>
      <c r="K28" s="6" t="str">
        <f>IF(N28=0,"Dương","Âm")</f>
        <v>Dương</v>
      </c>
      <c r="L28" s="6">
        <f>IF(N28=0,IF(I28&lt;=(J27+E28),C28+D28,C28+D28+(J27+E28-I28)),0)</f>
        <v>21000000</v>
      </c>
      <c r="M28" s="6">
        <f t="shared" si="2"/>
        <v>0</v>
      </c>
      <c r="N28" s="6">
        <f>IF(I28&lt;=(J27+E28+D28+C28),0,I28-(E28+D28+C28+J27))</f>
        <v>0</v>
      </c>
      <c r="O28" s="6" t="str">
        <f>IF(L28-(AP28+AI28)&gt;=0,"Hợp lí","Ko hợp lí")</f>
        <v>Hợp lí</v>
      </c>
      <c r="P28" s="6">
        <f t="shared" si="13"/>
        <v>0</v>
      </c>
      <c r="Q28" s="3">
        <v>6</v>
      </c>
      <c r="R28" s="102"/>
      <c r="S28" s="102"/>
      <c r="T28" s="102">
        <f>IF(Q28=0,L28,0)</f>
        <v>0</v>
      </c>
      <c r="U28" s="85"/>
      <c r="V28" s="34"/>
      <c r="W28" s="32">
        <f>IF(Q28=0,"",L28+L28*IF(Q28=6,$R$3,$S$3))</f>
        <v>22260000</v>
      </c>
      <c r="X28" s="64">
        <f>A28+Q28</f>
        <v>31</v>
      </c>
      <c r="Y28" s="84"/>
      <c r="Z28" s="23"/>
      <c r="AA28" s="77"/>
      <c r="AB28" s="77"/>
      <c r="AC28" s="77"/>
      <c r="AD28" s="77"/>
      <c r="AE28" s="14"/>
      <c r="AF28" s="15"/>
      <c r="AG28" s="15"/>
      <c r="AH28" s="15"/>
      <c r="AI28" s="6">
        <f t="shared" si="8"/>
        <v>2791666.666666667</v>
      </c>
      <c r="AJ28" s="6">
        <f t="shared" si="9"/>
        <v>12500000</v>
      </c>
      <c r="AK28" s="100">
        <f t="shared" si="10"/>
        <v>112500000</v>
      </c>
    </row>
    <row r="29" spans="1:44" ht="15" thickBot="1" x14ac:dyDescent="0.35">
      <c r="A29" s="26">
        <v>26</v>
      </c>
      <c r="B29" s="7">
        <v>6</v>
      </c>
      <c r="C29" s="93">
        <v>11000000</v>
      </c>
      <c r="D29" s="3">
        <v>10000000</v>
      </c>
      <c r="E29" s="3">
        <v>8000000</v>
      </c>
      <c r="F29" s="3">
        <v>5000000</v>
      </c>
      <c r="G29" s="3">
        <v>1000000</v>
      </c>
      <c r="H29" s="27">
        <v>1000000</v>
      </c>
      <c r="I29" s="31">
        <f t="shared" si="0"/>
        <v>7000000</v>
      </c>
      <c r="J29" s="6">
        <f t="shared" si="1"/>
        <v>24000000</v>
      </c>
      <c r="K29" s="6" t="str">
        <f>IF(N29=0,"Dương","Âm")</f>
        <v>Dương</v>
      </c>
      <c r="L29" s="6">
        <f>IF(N29=0,IF(I29&lt;=(J28+E29),C29+D29,C29+D29+(J28+E29-I29)),0)</f>
        <v>21000000</v>
      </c>
      <c r="M29" s="6">
        <f t="shared" si="2"/>
        <v>0</v>
      </c>
      <c r="N29" s="6">
        <f>IF(I29&lt;=(J28+E29+D29+C29),0,I29-(E29+D29+C29+J28))</f>
        <v>0</v>
      </c>
      <c r="O29" s="6" t="str">
        <f>IF(L29-(AP29+AI29)&gt;=0,"Hợp lí","Ko hợp lí")</f>
        <v>Hợp lí</v>
      </c>
      <c r="P29" s="6">
        <f t="shared" si="13"/>
        <v>0</v>
      </c>
      <c r="Q29" s="3">
        <v>6</v>
      </c>
      <c r="R29" s="102"/>
      <c r="S29" s="102"/>
      <c r="T29" s="102">
        <f>IF(Q29=0,L29,0)</f>
        <v>0</v>
      </c>
      <c r="U29" s="85"/>
      <c r="V29" s="34"/>
      <c r="W29" s="32">
        <f>IF(Q29=0,"",L29+L29*IF(Q29=6,$R$3,$S$3))</f>
        <v>22260000</v>
      </c>
      <c r="X29" s="23">
        <f>A29+Q29</f>
        <v>32</v>
      </c>
      <c r="Y29" s="23"/>
      <c r="Z29" s="117" t="s">
        <v>26</v>
      </c>
      <c r="AA29" s="118"/>
      <c r="AB29" s="83">
        <f>SUM(AC4:AC15)+SUM(Z16:Z27)+SUM(W28:W39)</f>
        <v>663631801.64999998</v>
      </c>
      <c r="AC29" s="23"/>
      <c r="AD29" s="23"/>
      <c r="AE29" s="14"/>
      <c r="AF29" s="15"/>
      <c r="AG29" s="15"/>
      <c r="AH29" s="15"/>
      <c r="AI29" s="6">
        <f t="shared" si="8"/>
        <v>2791666.666666667</v>
      </c>
      <c r="AJ29" s="6">
        <f t="shared" si="9"/>
        <v>13000000</v>
      </c>
      <c r="AK29" s="100">
        <f t="shared" si="10"/>
        <v>113000000</v>
      </c>
    </row>
    <row r="30" spans="1:44" x14ac:dyDescent="0.3">
      <c r="A30" s="26">
        <v>27</v>
      </c>
      <c r="B30" s="7">
        <v>7</v>
      </c>
      <c r="C30" s="93">
        <v>11000000</v>
      </c>
      <c r="D30" s="3">
        <v>10000000</v>
      </c>
      <c r="E30" s="3">
        <v>8000000</v>
      </c>
      <c r="F30" s="3">
        <v>5000000</v>
      </c>
      <c r="G30" s="3">
        <v>1000000</v>
      </c>
      <c r="H30" s="27">
        <v>1000000</v>
      </c>
      <c r="I30" s="31">
        <f t="shared" si="0"/>
        <v>7000000</v>
      </c>
      <c r="J30" s="6">
        <f t="shared" si="1"/>
        <v>25000000</v>
      </c>
      <c r="K30" s="6" t="str">
        <f>IF(N30=0,"Dương","Âm")</f>
        <v>Dương</v>
      </c>
      <c r="L30" s="6">
        <f>IF(N30=0,IF(I30&lt;=(J29+E30),C30+D30,C30+D30+(J29+E30-I30)),0)</f>
        <v>21000000</v>
      </c>
      <c r="M30" s="6">
        <f t="shared" si="2"/>
        <v>0</v>
      </c>
      <c r="N30" s="6">
        <f>IF(I30&lt;=(J29+E30+D30+C30),0,I30-(E30+D30+C30+J29))</f>
        <v>0</v>
      </c>
      <c r="O30" s="6" t="str">
        <f>IF(L30-(AP30+AI30)&gt;=0,"Hợp lí","Ko hợp lí")</f>
        <v>Hợp lí</v>
      </c>
      <c r="P30" s="6">
        <f>IF((L30-(AP30+AI30))&gt;=0,0,-(L30-(AP30+AI30)))</f>
        <v>0</v>
      </c>
      <c r="Q30" s="3">
        <v>6</v>
      </c>
      <c r="R30" s="102"/>
      <c r="S30" s="102"/>
      <c r="T30" s="102">
        <f>IF(Q30=0,L30,0)</f>
        <v>0</v>
      </c>
      <c r="U30" s="85"/>
      <c r="V30" s="34"/>
      <c r="W30" s="32">
        <f>IF(Q30=0,"",L30+L30*IF(Q30=6,$R$3,$S$3))</f>
        <v>22260000</v>
      </c>
      <c r="X30" s="23">
        <f>A30+Q30</f>
        <v>33</v>
      </c>
      <c r="Y30" s="23"/>
      <c r="Z30" s="23"/>
      <c r="AA30" s="23"/>
      <c r="AB30" s="23"/>
      <c r="AC30" s="23"/>
      <c r="AD30" s="23"/>
      <c r="AE30" s="14"/>
      <c r="AF30" s="15"/>
      <c r="AG30" s="15"/>
      <c r="AH30" s="15"/>
      <c r="AI30" s="6">
        <f t="shared" si="8"/>
        <v>2791666.666666667</v>
      </c>
      <c r="AJ30" s="6">
        <f t="shared" si="9"/>
        <v>13500000</v>
      </c>
      <c r="AK30" s="100">
        <f t="shared" si="10"/>
        <v>113500000</v>
      </c>
    </row>
    <row r="31" spans="1:44" x14ac:dyDescent="0.3">
      <c r="A31" s="26">
        <v>28</v>
      </c>
      <c r="B31" s="7">
        <v>8</v>
      </c>
      <c r="C31" s="93">
        <v>11000000</v>
      </c>
      <c r="D31" s="3">
        <v>10000000</v>
      </c>
      <c r="E31" s="3">
        <v>8000000</v>
      </c>
      <c r="F31" s="3">
        <v>5000000</v>
      </c>
      <c r="G31" s="3">
        <v>1000000</v>
      </c>
      <c r="H31" s="27">
        <v>1000000</v>
      </c>
      <c r="I31" s="31">
        <f t="shared" si="0"/>
        <v>7000000</v>
      </c>
      <c r="J31" s="6">
        <f t="shared" si="1"/>
        <v>26000000</v>
      </c>
      <c r="K31" s="6" t="str">
        <f>IF(N31=0,"Dương","Âm")</f>
        <v>Dương</v>
      </c>
      <c r="L31" s="6">
        <f>IF(N31=0,IF(I31&lt;=(J30+E31),C31+D31,C31+D31+(J30+E31-I31)),0)</f>
        <v>21000000</v>
      </c>
      <c r="M31" s="6">
        <f t="shared" si="2"/>
        <v>0</v>
      </c>
      <c r="N31" s="6">
        <f>IF(I31&lt;=(J30+E31+D31+C31),0,I31-(E31+D31+C31+J30))</f>
        <v>0</v>
      </c>
      <c r="O31" s="6" t="str">
        <f>IF(L31-(AP31+AI31)&gt;=0,"Hợp lí","Ko hợp lí")</f>
        <v>Hợp lí</v>
      </c>
      <c r="P31" s="6">
        <f>IF((L31-(AP31+AI31))&gt;=0,0,-(L31-(AP31+AI31)))</f>
        <v>0</v>
      </c>
      <c r="Q31" s="3">
        <v>6</v>
      </c>
      <c r="R31" s="102"/>
      <c r="S31" s="102"/>
      <c r="T31" s="102">
        <f>IF(Q31=0,L31,0)</f>
        <v>0</v>
      </c>
      <c r="U31" s="85"/>
      <c r="V31" s="34"/>
      <c r="W31" s="32">
        <f>IF(Q31=0,"",L31+L31*IF(Q31=6,$R$3,$S$3))</f>
        <v>22260000</v>
      </c>
      <c r="X31" s="23">
        <f>A31+Q31</f>
        <v>34</v>
      </c>
      <c r="Y31" s="23"/>
      <c r="Z31" s="23"/>
      <c r="AA31" s="23"/>
      <c r="AB31" s="23"/>
      <c r="AC31" s="23"/>
      <c r="AD31" s="23"/>
      <c r="AE31" s="14"/>
      <c r="AF31" s="15"/>
      <c r="AG31" s="15"/>
      <c r="AH31" s="15"/>
      <c r="AI31" s="6">
        <f t="shared" si="8"/>
        <v>2791666.666666667</v>
      </c>
      <c r="AJ31" s="6">
        <f t="shared" si="9"/>
        <v>14000000</v>
      </c>
      <c r="AK31" s="100">
        <f t="shared" si="10"/>
        <v>114000000</v>
      </c>
    </row>
    <row r="32" spans="1:44" x14ac:dyDescent="0.3">
      <c r="A32" s="26">
        <v>29</v>
      </c>
      <c r="B32" s="7">
        <v>9</v>
      </c>
      <c r="C32" s="93">
        <v>11000000</v>
      </c>
      <c r="D32" s="3">
        <v>10000000</v>
      </c>
      <c r="E32" s="3">
        <v>8000000</v>
      </c>
      <c r="F32" s="3">
        <v>5000000</v>
      </c>
      <c r="G32" s="3">
        <v>1000000</v>
      </c>
      <c r="H32" s="27">
        <v>1000000</v>
      </c>
      <c r="I32" s="31">
        <f t="shared" si="0"/>
        <v>7000000</v>
      </c>
      <c r="J32" s="6">
        <f t="shared" si="1"/>
        <v>27000000</v>
      </c>
      <c r="K32" s="6" t="str">
        <f>IF(N32=0,"Dương","Âm")</f>
        <v>Dương</v>
      </c>
      <c r="L32" s="6">
        <f>IF(N32=0,IF(I32&lt;=(J31+E32),C32+D32,C32+D32+(J31+E32-I32)),0)</f>
        <v>21000000</v>
      </c>
      <c r="M32" s="6">
        <f t="shared" si="2"/>
        <v>0</v>
      </c>
      <c r="N32" s="6">
        <f>IF(I32&lt;=(J31+E32+D32+C32),0,I32-(E32+D32+C32+J31))</f>
        <v>0</v>
      </c>
      <c r="O32" s="6" t="str">
        <f>IF(L32-(AP32+AI32)&gt;=0,"Hợp lí","Ko hợp lí")</f>
        <v>Hợp lí</v>
      </c>
      <c r="P32" s="6">
        <f t="shared" ref="P32:P39" si="15">IF((L32-(AP32+AI32))&gt;=0,0,-(L32-(AP32+AI32)))</f>
        <v>0</v>
      </c>
      <c r="Q32" s="3">
        <v>6</v>
      </c>
      <c r="R32" s="102"/>
      <c r="S32" s="102"/>
      <c r="T32" s="102">
        <f>IF(Q32=0,L32,0)</f>
        <v>0</v>
      </c>
      <c r="U32" s="85"/>
      <c r="V32" s="34"/>
      <c r="W32" s="32">
        <f>IF(Q32=0,"",L32+L32*IF(Q32=6,$R$3,$S$3))</f>
        <v>22260000</v>
      </c>
      <c r="X32" s="23">
        <f>A32+Q32</f>
        <v>35</v>
      </c>
      <c r="Y32" s="23"/>
      <c r="Z32" s="23"/>
      <c r="AA32" s="23"/>
      <c r="AB32" s="23"/>
      <c r="AC32" s="23"/>
      <c r="AD32" s="23"/>
      <c r="AE32" s="14"/>
      <c r="AF32" s="15"/>
      <c r="AG32" s="15"/>
      <c r="AH32" s="15"/>
      <c r="AI32" s="6">
        <f t="shared" si="8"/>
        <v>2791666.666666667</v>
      </c>
      <c r="AJ32" s="6">
        <f t="shared" si="9"/>
        <v>14500000</v>
      </c>
      <c r="AK32" s="100">
        <f t="shared" si="10"/>
        <v>114500000</v>
      </c>
    </row>
    <row r="33" spans="1:44" x14ac:dyDescent="0.3">
      <c r="A33" s="26">
        <v>30</v>
      </c>
      <c r="B33" s="7">
        <v>10</v>
      </c>
      <c r="C33" s="93">
        <v>11000000</v>
      </c>
      <c r="D33" s="3">
        <v>10000000</v>
      </c>
      <c r="E33" s="3">
        <v>8000000</v>
      </c>
      <c r="F33" s="3">
        <v>5000000</v>
      </c>
      <c r="G33" s="3">
        <v>1000000</v>
      </c>
      <c r="H33" s="27">
        <v>1000000</v>
      </c>
      <c r="I33" s="31">
        <f t="shared" si="0"/>
        <v>7000000</v>
      </c>
      <c r="J33" s="6">
        <f t="shared" si="1"/>
        <v>28000000</v>
      </c>
      <c r="K33" s="6" t="str">
        <f>IF(N33=0,"Dương","Âm")</f>
        <v>Dương</v>
      </c>
      <c r="L33" s="6">
        <f>IF(N33=0,IF(I33&lt;=(J32+E33),C33+D33,C33+D33+(J32+E33-I33)),0)</f>
        <v>21000000</v>
      </c>
      <c r="M33" s="6">
        <f t="shared" si="2"/>
        <v>0</v>
      </c>
      <c r="N33" s="6">
        <f>IF(I33&lt;=(J32+E33+D33+C33),0,I33-(E33+D33+C33+J32))</f>
        <v>0</v>
      </c>
      <c r="O33" s="6" t="str">
        <f>IF(L33-(AP33+AI33)&gt;=0,"Hợp lí","Ko hợp lí")</f>
        <v>Hợp lí</v>
      </c>
      <c r="P33" s="6">
        <f t="shared" si="15"/>
        <v>0</v>
      </c>
      <c r="Q33" s="3">
        <v>0</v>
      </c>
      <c r="R33" s="102"/>
      <c r="S33" s="102"/>
      <c r="T33" s="102">
        <f>IF(Q33=0,L33,0)</f>
        <v>21000000</v>
      </c>
      <c r="U33" s="85"/>
      <c r="V33" s="34"/>
      <c r="W33" s="32" t="str">
        <f>IF(Q33=0,"",L33+L33*IF(Q33=6,$R$3,$S$3))</f>
        <v/>
      </c>
      <c r="X33" s="23">
        <f>A33+Q33</f>
        <v>30</v>
      </c>
      <c r="Y33" s="23"/>
      <c r="Z33" s="23"/>
      <c r="AA33" s="23"/>
      <c r="AB33" s="23"/>
      <c r="AC33" s="23"/>
      <c r="AD33" s="23"/>
      <c r="AE33" s="14"/>
      <c r="AF33" s="15"/>
      <c r="AG33" s="15"/>
      <c r="AH33" s="15"/>
      <c r="AI33" s="6">
        <f t="shared" si="8"/>
        <v>2791666.666666667</v>
      </c>
      <c r="AJ33" s="6">
        <f t="shared" si="9"/>
        <v>15000000</v>
      </c>
      <c r="AK33" s="100">
        <f t="shared" si="10"/>
        <v>115000000</v>
      </c>
    </row>
    <row r="34" spans="1:44" x14ac:dyDescent="0.3">
      <c r="A34" s="26">
        <v>31</v>
      </c>
      <c r="B34" s="7">
        <v>11</v>
      </c>
      <c r="C34" s="93">
        <v>11000000</v>
      </c>
      <c r="D34" s="3">
        <v>10000000</v>
      </c>
      <c r="E34" s="3">
        <v>8000000</v>
      </c>
      <c r="F34" s="3">
        <v>5000000</v>
      </c>
      <c r="G34" s="3">
        <v>1000000</v>
      </c>
      <c r="H34" s="27">
        <v>1000000</v>
      </c>
      <c r="I34" s="31">
        <f t="shared" si="0"/>
        <v>7000000</v>
      </c>
      <c r="J34" s="6">
        <f t="shared" si="1"/>
        <v>29000000</v>
      </c>
      <c r="K34" s="6" t="str">
        <f>IF(N34=0,"Dương","Âm")</f>
        <v>Dương</v>
      </c>
      <c r="L34" s="6">
        <f>IF(N34=0,IF(I34&lt;=(J33+E34),C34+D34,C34+D34+(J33+E34-I34)),0)</f>
        <v>21000000</v>
      </c>
      <c r="M34" s="6">
        <f t="shared" si="2"/>
        <v>0</v>
      </c>
      <c r="N34" s="6">
        <f>IF(I34&lt;=(J33+E34+D34+C34),0,I34-(E34+D34+C34+J33))</f>
        <v>0</v>
      </c>
      <c r="O34" s="6" t="str">
        <f>IF(L34-(AP34+AI34)&gt;=0,"Hợp lí","Ko hợp lí")</f>
        <v>Hợp lí</v>
      </c>
      <c r="P34" s="6">
        <f t="shared" si="15"/>
        <v>0</v>
      </c>
      <c r="Q34" s="3">
        <v>0</v>
      </c>
      <c r="R34" s="102"/>
      <c r="S34" s="102"/>
      <c r="T34" s="102">
        <f>IF(Q34=0,L34,0)</f>
        <v>21000000</v>
      </c>
      <c r="U34" s="85"/>
      <c r="V34" s="34"/>
      <c r="W34" s="32" t="str">
        <f>IF(Q34=0,"",L34+L34*IF(Q34=6,$R$3,$S$3))</f>
        <v/>
      </c>
      <c r="X34" s="23">
        <f>A34+Q34</f>
        <v>31</v>
      </c>
      <c r="Y34" s="23"/>
      <c r="Z34" s="23"/>
      <c r="AA34" s="23"/>
      <c r="AB34" s="23"/>
      <c r="AC34" s="23"/>
      <c r="AD34" s="23"/>
      <c r="AE34" s="14"/>
      <c r="AF34" s="15"/>
      <c r="AG34" s="15"/>
      <c r="AH34" s="15"/>
      <c r="AI34" s="6">
        <f t="shared" si="8"/>
        <v>2791666.666666667</v>
      </c>
      <c r="AJ34" s="6">
        <f t="shared" si="9"/>
        <v>15500000</v>
      </c>
      <c r="AK34" s="100">
        <f t="shared" si="10"/>
        <v>115500000</v>
      </c>
    </row>
    <row r="35" spans="1:44" ht="15" thickBot="1" x14ac:dyDescent="0.35">
      <c r="A35" s="26">
        <v>32</v>
      </c>
      <c r="B35" s="39">
        <v>12</v>
      </c>
      <c r="C35" s="93">
        <v>11000000</v>
      </c>
      <c r="D35" s="3">
        <v>10000000</v>
      </c>
      <c r="E35" s="3">
        <v>8000000</v>
      </c>
      <c r="F35" s="3">
        <v>5000000</v>
      </c>
      <c r="G35" s="3">
        <v>1000000</v>
      </c>
      <c r="H35" s="27">
        <v>1000000</v>
      </c>
      <c r="I35" s="31">
        <f t="shared" si="0"/>
        <v>7000000</v>
      </c>
      <c r="J35" s="6">
        <f t="shared" si="1"/>
        <v>30000000</v>
      </c>
      <c r="K35" s="6" t="str">
        <f>IF(N35=0,"Dương","Âm")</f>
        <v>Dương</v>
      </c>
      <c r="L35" s="6">
        <f>IF(N35=0,IF(I35&lt;=(J34+E35),C35+D35,C35+D35+(J34+E35-I35)),0)</f>
        <v>21000000</v>
      </c>
      <c r="M35" s="6">
        <f>C35+D35-L35</f>
        <v>0</v>
      </c>
      <c r="N35" s="6">
        <f>IF(I35&lt;=(J34+E35+D35+C35),0,I35-(E35+D35+C35+J34))</f>
        <v>0</v>
      </c>
      <c r="O35" s="6" t="str">
        <f>IF(L35-(AP35+AI35)&gt;=0,"Hợp lí","Ko hợp lí")</f>
        <v>Hợp lí</v>
      </c>
      <c r="P35" s="6">
        <f t="shared" si="15"/>
        <v>0</v>
      </c>
      <c r="Q35" s="3">
        <v>0</v>
      </c>
      <c r="R35" s="102"/>
      <c r="S35" s="102"/>
      <c r="T35" s="102">
        <f>IF(Q35=0,L35,0)</f>
        <v>21000000</v>
      </c>
      <c r="U35" s="85"/>
      <c r="V35" s="34"/>
      <c r="W35" s="32" t="str">
        <f>IF(Q35=0,"",L35+L35*IF(Q35=6,$R$3,$S$3))</f>
        <v/>
      </c>
      <c r="X35" s="23">
        <f>A35+Q35</f>
        <v>32</v>
      </c>
      <c r="Y35" s="23"/>
      <c r="Z35" s="23"/>
      <c r="AA35" s="23"/>
      <c r="AB35" s="23"/>
      <c r="AC35" s="23"/>
      <c r="AD35" s="23"/>
      <c r="AE35" s="14"/>
      <c r="AF35" s="15"/>
      <c r="AG35" s="15"/>
      <c r="AH35" s="15"/>
      <c r="AI35" s="6">
        <f>($AE$3/36)+($AE$3/36)*($AH$3/12)</f>
        <v>2791666.666666667</v>
      </c>
      <c r="AJ35" s="6">
        <f t="shared" si="9"/>
        <v>16000000</v>
      </c>
      <c r="AK35" s="100">
        <f t="shared" si="10"/>
        <v>116000000</v>
      </c>
    </row>
    <row r="36" spans="1:44" ht="15" thickTop="1" x14ac:dyDescent="0.3">
      <c r="A36" s="26">
        <v>33</v>
      </c>
      <c r="B36" s="37">
        <v>1</v>
      </c>
      <c r="C36" s="93">
        <v>11000000</v>
      </c>
      <c r="D36" s="3">
        <v>10000000</v>
      </c>
      <c r="E36" s="3">
        <v>8000000</v>
      </c>
      <c r="F36" s="3">
        <v>5000000</v>
      </c>
      <c r="G36" s="3">
        <v>1000000</v>
      </c>
      <c r="H36" s="27">
        <v>1000000</v>
      </c>
      <c r="I36" s="31">
        <f t="shared" si="0"/>
        <v>7000000</v>
      </c>
      <c r="J36" s="6">
        <f t="shared" si="1"/>
        <v>31000000</v>
      </c>
      <c r="K36" s="6" t="str">
        <f>IF(N36=0,"Dương","Âm")</f>
        <v>Dương</v>
      </c>
      <c r="L36" s="6">
        <f>IF(N36=0,IF(I36&lt;=(J35+E36),C36+D36,C36+D36+(J35+E36-I36)),0)</f>
        <v>21000000</v>
      </c>
      <c r="M36" s="6">
        <f t="shared" si="2"/>
        <v>0</v>
      </c>
      <c r="N36" s="6">
        <f>IF(I36&lt;=(J35+E36+D36+C36),0,I36-(E36+D36+C36+J35))</f>
        <v>0</v>
      </c>
      <c r="O36" s="6" t="str">
        <f>IF(L36-(AP36+AI36)&gt;=0,"Hợp lí","Ko hợp lí")</f>
        <v>Hợp lí</v>
      </c>
      <c r="P36" s="6">
        <f t="shared" si="15"/>
        <v>0</v>
      </c>
      <c r="Q36" s="3">
        <v>0</v>
      </c>
      <c r="R36" s="102"/>
      <c r="S36" s="102"/>
      <c r="T36" s="102">
        <f>IF(Q36=0,L36,0)</f>
        <v>21000000</v>
      </c>
      <c r="U36" s="85"/>
      <c r="V36" s="34"/>
      <c r="W36" s="32" t="str">
        <f>IF(Q36=0,"",L36+L36*IF(Q36=6,$R$3,$S$3))</f>
        <v/>
      </c>
      <c r="X36" s="23">
        <f>A36+Q36</f>
        <v>33</v>
      </c>
      <c r="Y36" s="23"/>
      <c r="Z36" s="23"/>
      <c r="AA36" s="23"/>
      <c r="AB36" s="23"/>
      <c r="AC36" s="23"/>
      <c r="AD36" s="23"/>
      <c r="AE36" s="14"/>
      <c r="AF36" s="15"/>
      <c r="AG36" s="15"/>
      <c r="AH36" s="15"/>
      <c r="AI36" s="6">
        <f t="shared" si="8"/>
        <v>2791666.666666667</v>
      </c>
      <c r="AJ36" s="6">
        <f t="shared" si="9"/>
        <v>16500000</v>
      </c>
      <c r="AK36" s="100">
        <f t="shared" si="10"/>
        <v>116500000</v>
      </c>
    </row>
    <row r="37" spans="1:44" x14ac:dyDescent="0.3">
      <c r="A37" s="26">
        <v>34</v>
      </c>
      <c r="B37" s="7">
        <v>2</v>
      </c>
      <c r="C37" s="93">
        <v>11000000</v>
      </c>
      <c r="D37" s="3">
        <v>10000000</v>
      </c>
      <c r="E37" s="3">
        <v>8000000</v>
      </c>
      <c r="F37" s="3">
        <v>5000000</v>
      </c>
      <c r="G37" s="3">
        <v>1000000</v>
      </c>
      <c r="H37" s="27">
        <v>1000000</v>
      </c>
      <c r="I37" s="31">
        <f t="shared" si="0"/>
        <v>7000000</v>
      </c>
      <c r="J37" s="6">
        <f t="shared" si="1"/>
        <v>32000000</v>
      </c>
      <c r="K37" s="6" t="str">
        <f>IF(N37=0,"Dương","Âm")</f>
        <v>Dương</v>
      </c>
      <c r="L37" s="6">
        <f>IF(N37=0,IF(I37&lt;=(J36+E37),C37+D37,C37+D37+(J36+E37-I37)),0)</f>
        <v>21000000</v>
      </c>
      <c r="M37" s="6">
        <f t="shared" si="2"/>
        <v>0</v>
      </c>
      <c r="N37" s="6">
        <f>IF(I37&lt;=(J36+E37+D37+C37),0,I37-(E37+D37+C37+J36))</f>
        <v>0</v>
      </c>
      <c r="O37" s="6" t="str">
        <f>IF(L37-(AP37+AI37)&gt;=0,"Hợp lí","Ko hợp lí")</f>
        <v>Hợp lí</v>
      </c>
      <c r="P37" s="6">
        <f t="shared" si="15"/>
        <v>0</v>
      </c>
      <c r="Q37" s="3">
        <v>0</v>
      </c>
      <c r="R37" s="102"/>
      <c r="S37" s="102"/>
      <c r="T37" s="102">
        <f>IF(Q37=0,L37,0)</f>
        <v>21000000</v>
      </c>
      <c r="U37" s="85"/>
      <c r="V37" s="34"/>
      <c r="W37" s="32" t="str">
        <f>IF(Q37=0,"",L37+L37*IF(Q37=6,$R$3,$S$3))</f>
        <v/>
      </c>
      <c r="X37" s="23">
        <f>A37+Q37</f>
        <v>34</v>
      </c>
      <c r="Y37" s="23"/>
      <c r="Z37" s="23"/>
      <c r="AA37" s="23"/>
      <c r="AB37" s="23"/>
      <c r="AC37" s="23"/>
      <c r="AD37" s="23"/>
      <c r="AE37" s="14"/>
      <c r="AF37" s="15"/>
      <c r="AG37" s="15"/>
      <c r="AH37" s="15"/>
      <c r="AI37" s="6">
        <f t="shared" si="8"/>
        <v>2791666.666666667</v>
      </c>
      <c r="AJ37" s="6">
        <f t="shared" si="9"/>
        <v>17000000</v>
      </c>
      <c r="AK37" s="100">
        <f t="shared" si="10"/>
        <v>117000000</v>
      </c>
    </row>
    <row r="38" spans="1:44" ht="15" thickBot="1" x14ac:dyDescent="0.35">
      <c r="A38" s="26">
        <v>35</v>
      </c>
      <c r="B38" s="7">
        <v>3</v>
      </c>
      <c r="C38" s="93">
        <v>11000000</v>
      </c>
      <c r="D38" s="3">
        <v>10000000</v>
      </c>
      <c r="E38" s="3">
        <v>8000000</v>
      </c>
      <c r="F38" s="3">
        <v>5000000</v>
      </c>
      <c r="G38" s="3">
        <v>1000000</v>
      </c>
      <c r="H38" s="27">
        <v>1000000</v>
      </c>
      <c r="I38" s="31">
        <f t="shared" si="0"/>
        <v>7000000</v>
      </c>
      <c r="J38" s="6">
        <f t="shared" si="1"/>
        <v>33000000</v>
      </c>
      <c r="K38" s="6" t="str">
        <f>IF(N38=0,"Dương","Âm")</f>
        <v>Dương</v>
      </c>
      <c r="L38" s="6">
        <f>IF(N38=0,IF(I38&lt;=(J37+E38),C38+D38,C38+D38+(J37+E38-I38)),0)</f>
        <v>21000000</v>
      </c>
      <c r="M38" s="6">
        <f t="shared" si="2"/>
        <v>0</v>
      </c>
      <c r="N38" s="6">
        <f>IF(I38&lt;=(J37+E38+D38+C38),0,I38-(E38+D38+C38+J37))</f>
        <v>0</v>
      </c>
      <c r="O38" s="6" t="str">
        <f>IF(L38-(AP38+AI38)&gt;=0,"Hợp lí","Ko hợp lí")</f>
        <v>Hợp lí</v>
      </c>
      <c r="P38" s="6">
        <f t="shared" si="15"/>
        <v>0</v>
      </c>
      <c r="Q38" s="3">
        <v>0</v>
      </c>
      <c r="R38" s="102"/>
      <c r="S38" s="102"/>
      <c r="T38" s="102">
        <f>IF(Q38=0,L38,0)</f>
        <v>21000000</v>
      </c>
      <c r="U38" s="85"/>
      <c r="V38" s="34"/>
      <c r="W38" s="32" t="str">
        <f>IF(Q38=0,"",L38+L38*IF(Q38=6,$R$3,$S$3))</f>
        <v/>
      </c>
      <c r="X38" s="23">
        <f>A38+Q38</f>
        <v>35</v>
      </c>
      <c r="Y38" s="23"/>
      <c r="Z38" s="23"/>
      <c r="AA38" s="23"/>
      <c r="AB38" s="23"/>
      <c r="AC38" s="23"/>
      <c r="AD38" s="23"/>
      <c r="AE38" s="14"/>
      <c r="AF38" s="15"/>
      <c r="AG38" s="15"/>
      <c r="AH38" s="15"/>
      <c r="AI38" s="6">
        <f t="shared" si="8"/>
        <v>2791666.666666667</v>
      </c>
      <c r="AJ38" s="6">
        <f t="shared" si="9"/>
        <v>17500000</v>
      </c>
      <c r="AK38" s="107">
        <f t="shared" si="10"/>
        <v>117500000</v>
      </c>
    </row>
    <row r="39" spans="1:44" ht="15" thickBot="1" x14ac:dyDescent="0.35">
      <c r="A39" s="28">
        <v>36</v>
      </c>
      <c r="B39" s="36">
        <v>4</v>
      </c>
      <c r="C39" s="109">
        <v>11000000</v>
      </c>
      <c r="D39" s="18">
        <v>10000000</v>
      </c>
      <c r="E39" s="18">
        <v>8000000</v>
      </c>
      <c r="F39" s="18">
        <v>5000000</v>
      </c>
      <c r="G39" s="18">
        <v>1000000</v>
      </c>
      <c r="H39" s="29">
        <v>1000000</v>
      </c>
      <c r="I39" s="33">
        <f t="shared" si="0"/>
        <v>7000000</v>
      </c>
      <c r="J39" s="19">
        <f t="shared" si="1"/>
        <v>34000000</v>
      </c>
      <c r="K39" s="19" t="str">
        <f>IF(N39=0,"Dương","Âm")</f>
        <v>Dương</v>
      </c>
      <c r="L39" s="19">
        <f>IF(N39=0,IF(I39&lt;=(J38+E39),C39+D39,C39+D39+(J38+E39-I39)),0)</f>
        <v>21000000</v>
      </c>
      <c r="M39" s="19">
        <f t="shared" si="2"/>
        <v>0</v>
      </c>
      <c r="N39" s="19">
        <f>IF(I39&lt;=(J38+E39+D39+C39),0,I39-(E39+D39+C39+J38))</f>
        <v>0</v>
      </c>
      <c r="O39" s="19" t="str">
        <f>IF(L39-(AP39+AI39)&gt;=0,"Hợp lí","Ko hợp lí")</f>
        <v>Hợp lí</v>
      </c>
      <c r="P39" s="19">
        <f t="shared" si="15"/>
        <v>0</v>
      </c>
      <c r="Q39" s="18">
        <v>0</v>
      </c>
      <c r="R39" s="103"/>
      <c r="S39" s="103"/>
      <c r="T39" s="101">
        <f>IF(Q39=0,L39,0)</f>
        <v>21000000</v>
      </c>
      <c r="U39" s="86"/>
      <c r="V39" s="35"/>
      <c r="W39" s="104" t="str">
        <f>IF(Q39=0,"",L39+L39*IF(Q39=6,$R$3,$S$3))</f>
        <v/>
      </c>
      <c r="X39" s="23">
        <f>A39+Q39</f>
        <v>36</v>
      </c>
      <c r="Y39" s="23"/>
      <c r="Z39" s="23"/>
      <c r="AA39" s="23"/>
      <c r="AB39" s="23"/>
      <c r="AC39" s="23"/>
      <c r="AD39" s="23"/>
      <c r="AE39" s="16"/>
      <c r="AF39" s="17"/>
      <c r="AG39" s="17"/>
      <c r="AH39" s="17"/>
      <c r="AI39" s="19">
        <f t="shared" si="8"/>
        <v>2791666.666666667</v>
      </c>
      <c r="AJ39" s="106">
        <f>AK39-$AE$3</f>
        <v>18000000</v>
      </c>
      <c r="AK39" s="108">
        <f t="shared" si="10"/>
        <v>118000000</v>
      </c>
      <c r="AL39" s="4"/>
      <c r="AM39" s="4"/>
      <c r="AN39" s="4"/>
      <c r="AO39" s="4"/>
      <c r="AP39" s="4"/>
      <c r="AQ39" s="4"/>
      <c r="AR39" s="4"/>
    </row>
    <row r="40" spans="1:44" ht="15" thickBot="1" x14ac:dyDescent="0.35">
      <c r="T40" s="105">
        <f>SUM(T4:T39)</f>
        <v>147000000</v>
      </c>
    </row>
    <row r="41" spans="1:44" ht="15" thickBot="1" x14ac:dyDescent="0.35"/>
    <row r="42" spans="1:44" x14ac:dyDescent="0.3">
      <c r="B42" s="56" t="s">
        <v>21</v>
      </c>
      <c r="C42" s="91"/>
      <c r="D42" s="57"/>
      <c r="E42" s="57"/>
      <c r="F42" s="58"/>
    </row>
    <row r="43" spans="1:44" x14ac:dyDescent="0.3">
      <c r="B43" s="59"/>
      <c r="C43" s="92"/>
      <c r="D43" s="41"/>
      <c r="E43" s="110" t="s">
        <v>22</v>
      </c>
      <c r="F43" s="111"/>
    </row>
    <row r="44" spans="1:44" x14ac:dyDescent="0.3">
      <c r="B44" s="59"/>
      <c r="C44" s="92"/>
      <c r="D44" s="42"/>
      <c r="E44" s="110" t="s">
        <v>23</v>
      </c>
      <c r="F44" s="111"/>
    </row>
    <row r="45" spans="1:44" ht="15" thickBot="1" x14ac:dyDescent="0.35">
      <c r="B45" s="60"/>
      <c r="C45" s="61"/>
      <c r="D45" s="61"/>
      <c r="E45" s="61"/>
      <c r="F45" s="62"/>
    </row>
  </sheetData>
  <mergeCells count="7">
    <mergeCell ref="E44:F44"/>
    <mergeCell ref="AE1:AK1"/>
    <mergeCell ref="AL1:AR1"/>
    <mergeCell ref="A1:W1"/>
    <mergeCell ref="E43:F43"/>
    <mergeCell ref="Z29:AA29"/>
    <mergeCell ref="X1:AD1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FPT SHOP</dc:creator>
  <cp:lastModifiedBy>FPT SHOP</cp:lastModifiedBy>
  <dcterms:created xsi:type="dcterms:W3CDTF">2022-05-23T12:07:05Z</dcterms:created>
  <dcterms:modified xsi:type="dcterms:W3CDTF">2022-06-03T03:00:34Z</dcterms:modified>
</cp:coreProperties>
</file>