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4.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5.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origin\Documents\Balima Project\"/>
    </mc:Choice>
  </mc:AlternateContent>
  <xr:revisionPtr revIDLastSave="0" documentId="13_ncr:1_{18630FE9-9C36-4469-BDFC-CBEC058D823B}" xr6:coauthVersionLast="47" xr6:coauthVersionMax="47" xr10:uidLastSave="{00000000-0000-0000-0000-000000000000}"/>
  <bookViews>
    <workbookView xWindow="-83" yWindow="0" windowWidth="11415" windowHeight="15082" firstSheet="4" activeTab="5" xr2:uid="{BCF67CB2-5D23-4B26-887A-ADD7751297DF}"/>
  </bookViews>
  <sheets>
    <sheet name="Assumptions" sheetId="7" r:id="rId1"/>
    <sheet name="Revenue and Margins" sheetId="1" r:id="rId2"/>
    <sheet name="Expenses" sheetId="2" r:id="rId3"/>
    <sheet name="Capital Requirements" sheetId="3" r:id="rId4"/>
    <sheet name="CAP FS" sheetId="4" r:id="rId5"/>
    <sheet name="Strategies Evaluation" sheetId="6" r:id="rId6"/>
    <sheet name="Summary and Graphics" sheetId="5" r:id="rId7"/>
    <sheet name="Sensitivity Analysis" sheetId="8" r:id="rId8"/>
  </sheets>
  <externalReferences>
    <externalReference r:id="rId9"/>
    <externalReference r:id="rId1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54" i="6" l="1"/>
  <c r="S54" i="6"/>
  <c r="T54" i="6"/>
  <c r="U54" i="6"/>
  <c r="V54" i="6"/>
  <c r="S21" i="1" l="1"/>
  <c r="T21" i="1"/>
  <c r="U21" i="1"/>
  <c r="V21" i="1"/>
  <c r="R21" i="1"/>
  <c r="R37" i="1" s="1"/>
  <c r="R41" i="1"/>
  <c r="R32" i="2"/>
  <c r="R46" i="2"/>
  <c r="R41" i="2"/>
  <c r="R36" i="2"/>
  <c r="X116" i="6"/>
  <c r="R116" i="6"/>
  <c r="S25" i="4"/>
  <c r="S50" i="1" l="1"/>
  <c r="T50" i="1"/>
  <c r="U50" i="1"/>
  <c r="V50" i="1"/>
  <c r="R50" i="1"/>
  <c r="S49" i="1"/>
  <c r="S47" i="1" s="1"/>
  <c r="T49" i="1"/>
  <c r="U49" i="1"/>
  <c r="V49" i="1"/>
  <c r="R49" i="1"/>
  <c r="S48" i="1"/>
  <c r="T48" i="1"/>
  <c r="U48" i="1"/>
  <c r="V48" i="1"/>
  <c r="R48" i="1"/>
  <c r="S46" i="1"/>
  <c r="T46" i="1"/>
  <c r="U46" i="1"/>
  <c r="V46" i="1"/>
  <c r="V42" i="1" s="1"/>
  <c r="R46" i="1"/>
  <c r="S45" i="1"/>
  <c r="T45" i="1"/>
  <c r="U45" i="1"/>
  <c r="V45" i="1"/>
  <c r="R45" i="1"/>
  <c r="S44" i="1"/>
  <c r="T44" i="1"/>
  <c r="U44" i="1"/>
  <c r="R44" i="1"/>
  <c r="S43" i="1"/>
  <c r="T43" i="1"/>
  <c r="U43" i="1"/>
  <c r="V43" i="1"/>
  <c r="R43" i="1"/>
  <c r="V47" i="1"/>
  <c r="R25" i="2"/>
  <c r="R24" i="2" s="1"/>
  <c r="R26" i="2"/>
  <c r="S27" i="2"/>
  <c r="S24" i="2" s="1"/>
  <c r="S23" i="2"/>
  <c r="S20" i="2" s="1"/>
  <c r="S21" i="2"/>
  <c r="R22" i="2"/>
  <c r="S12" i="2"/>
  <c r="T12" i="2"/>
  <c r="U12" i="2"/>
  <c r="V12" i="2"/>
  <c r="V13" i="2" s="1"/>
  <c r="R12" i="2"/>
  <c r="R9" i="2"/>
  <c r="R8" i="1"/>
  <c r="R7" i="1"/>
  <c r="R12" i="1"/>
  <c r="R20" i="6"/>
  <c r="S20" i="6"/>
  <c r="T20" i="6"/>
  <c r="U20" i="6"/>
  <c r="V20" i="6"/>
  <c r="AQ28" i="5"/>
  <c r="AQ19" i="5" s="1"/>
  <c r="AO28" i="5"/>
  <c r="AO19" i="5" s="1"/>
  <c r="AJ28" i="5"/>
  <c r="AJ19" i="5" s="1"/>
  <c r="AI28" i="5"/>
  <c r="AI19" i="5" s="1"/>
  <c r="AG28" i="5"/>
  <c r="AG19" i="5" s="1"/>
  <c r="AB28" i="5"/>
  <c r="AB19" i="5" s="1"/>
  <c r="AA28" i="5"/>
  <c r="AA19" i="5" s="1"/>
  <c r="Y28" i="5"/>
  <c r="Y19" i="5" s="1"/>
  <c r="AQ27" i="5"/>
  <c r="AP27" i="5"/>
  <c r="AP28" i="5" s="1"/>
  <c r="AO27" i="5"/>
  <c r="AN27" i="5"/>
  <c r="AN28" i="5" s="1"/>
  <c r="AM27" i="5"/>
  <c r="AM28" i="5" s="1"/>
  <c r="AL27" i="5"/>
  <c r="AL28" i="5" s="1"/>
  <c r="AK27" i="5"/>
  <c r="AK28" i="5" s="1"/>
  <c r="AJ27" i="5"/>
  <c r="AI27" i="5"/>
  <c r="AH27" i="5"/>
  <c r="AH28" i="5" s="1"/>
  <c r="AG27" i="5"/>
  <c r="AF27" i="5"/>
  <c r="AF28" i="5" s="1"/>
  <c r="AE27" i="5"/>
  <c r="AD27" i="5"/>
  <c r="AD28" i="5" s="1"/>
  <c r="AC27" i="5"/>
  <c r="AC28" i="5" s="1"/>
  <c r="AB27" i="5"/>
  <c r="AA27" i="5"/>
  <c r="Z27" i="5"/>
  <c r="Z28" i="5" s="1"/>
  <c r="Y27" i="5"/>
  <c r="X27" i="5"/>
  <c r="X28" i="5" s="1"/>
  <c r="AQ18" i="5"/>
  <c r="AO18" i="5"/>
  <c r="AJ18" i="5"/>
  <c r="AI18" i="5"/>
  <c r="AG18" i="5"/>
  <c r="AB18" i="5"/>
  <c r="AA18" i="5"/>
  <c r="Y18" i="5"/>
  <c r="AQ16" i="5"/>
  <c r="AO16" i="5"/>
  <c r="AJ16" i="5"/>
  <c r="AI16" i="5"/>
  <c r="AG16" i="5"/>
  <c r="AB16" i="5"/>
  <c r="AA16" i="5"/>
  <c r="Y16" i="5"/>
  <c r="W12" i="5"/>
  <c r="V138" i="6"/>
  <c r="U138" i="6"/>
  <c r="T138" i="6"/>
  <c r="S138" i="6"/>
  <c r="A137" i="6"/>
  <c r="R124" i="6"/>
  <c r="V122" i="6"/>
  <c r="U122" i="6"/>
  <c r="T122" i="6"/>
  <c r="S122" i="6"/>
  <c r="R122" i="6"/>
  <c r="V119" i="6"/>
  <c r="U119" i="6"/>
  <c r="T119" i="6"/>
  <c r="S119" i="6"/>
  <c r="V118" i="6"/>
  <c r="U118" i="6"/>
  <c r="T118" i="6"/>
  <c r="S118" i="6"/>
  <c r="R118" i="6"/>
  <c r="V116" i="6"/>
  <c r="U116" i="6"/>
  <c r="T116" i="6"/>
  <c r="S116" i="6"/>
  <c r="V107" i="6"/>
  <c r="U107" i="6"/>
  <c r="T107" i="6"/>
  <c r="S107" i="6"/>
  <c r="A106" i="6"/>
  <c r="V91" i="6"/>
  <c r="U91" i="6"/>
  <c r="T91" i="6"/>
  <c r="S91" i="6"/>
  <c r="R91" i="6"/>
  <c r="V86" i="6"/>
  <c r="U86" i="6"/>
  <c r="T86" i="6"/>
  <c r="S86" i="6"/>
  <c r="R86" i="6"/>
  <c r="U77" i="6"/>
  <c r="T77" i="6"/>
  <c r="S77" i="6"/>
  <c r="R77" i="6"/>
  <c r="V76" i="6"/>
  <c r="U76" i="6"/>
  <c r="T76" i="6"/>
  <c r="A75" i="6"/>
  <c r="V59" i="6"/>
  <c r="U59" i="6"/>
  <c r="T59" i="6"/>
  <c r="S59" i="6"/>
  <c r="R59" i="6"/>
  <c r="S53" i="6"/>
  <c r="S55" i="6" s="1"/>
  <c r="V43" i="6"/>
  <c r="U43" i="6"/>
  <c r="T43" i="6"/>
  <c r="S43" i="6"/>
  <c r="A42" i="6"/>
  <c r="V41" i="6"/>
  <c r="U41" i="6"/>
  <c r="T41" i="6"/>
  <c r="S41" i="6"/>
  <c r="R41" i="6"/>
  <c r="V27" i="6"/>
  <c r="U27" i="6"/>
  <c r="T27" i="6"/>
  <c r="S27" i="6"/>
  <c r="R27" i="6"/>
  <c r="V24" i="6"/>
  <c r="U24" i="6"/>
  <c r="T24" i="6"/>
  <c r="S24" i="6"/>
  <c r="R24" i="6"/>
  <c r="G24" i="6"/>
  <c r="F24" i="6"/>
  <c r="E24" i="6"/>
  <c r="D24" i="6"/>
  <c r="C24" i="6"/>
  <c r="T23" i="6"/>
  <c r="G23" i="6"/>
  <c r="F23" i="6"/>
  <c r="E23" i="6"/>
  <c r="D23" i="6"/>
  <c r="C23" i="6"/>
  <c r="V22" i="6"/>
  <c r="U22" i="6"/>
  <c r="T22" i="6"/>
  <c r="S22" i="6"/>
  <c r="R22" i="6"/>
  <c r="G22" i="6"/>
  <c r="F22" i="6"/>
  <c r="E22" i="6"/>
  <c r="D22" i="6"/>
  <c r="C22" i="6"/>
  <c r="V21" i="6"/>
  <c r="U21" i="6"/>
  <c r="T21" i="6"/>
  <c r="S21" i="6"/>
  <c r="R21" i="6"/>
  <c r="G21" i="6"/>
  <c r="F21" i="6"/>
  <c r="E21" i="6"/>
  <c r="D21" i="6"/>
  <c r="C21" i="6"/>
  <c r="G20" i="6"/>
  <c r="F20" i="6"/>
  <c r="E20" i="6"/>
  <c r="D20" i="6"/>
  <c r="C20" i="6"/>
  <c r="P16" i="6"/>
  <c r="O16" i="6"/>
  <c r="N16" i="6"/>
  <c r="M16" i="6"/>
  <c r="L16" i="6"/>
  <c r="K16" i="6"/>
  <c r="J16" i="6"/>
  <c r="I16" i="6"/>
  <c r="H16" i="6"/>
  <c r="G16" i="6"/>
  <c r="F16" i="6"/>
  <c r="E16" i="6"/>
  <c r="D16" i="6"/>
  <c r="C16" i="6"/>
  <c r="P15" i="6"/>
  <c r="O15" i="6"/>
  <c r="N15" i="6"/>
  <c r="M15" i="6"/>
  <c r="L15" i="6"/>
  <c r="K15" i="6"/>
  <c r="J15" i="6"/>
  <c r="I15" i="6"/>
  <c r="H15" i="6"/>
  <c r="G15" i="6"/>
  <c r="F15" i="6"/>
  <c r="E15" i="6"/>
  <c r="D15" i="6"/>
  <c r="C15" i="6"/>
  <c r="P14" i="6"/>
  <c r="O14" i="6"/>
  <c r="N14" i="6"/>
  <c r="M14" i="6"/>
  <c r="L14" i="6"/>
  <c r="K14" i="6"/>
  <c r="J14" i="6"/>
  <c r="I14" i="6"/>
  <c r="H14" i="6"/>
  <c r="G14" i="6"/>
  <c r="F14" i="6"/>
  <c r="E14" i="6"/>
  <c r="D14" i="6"/>
  <c r="C14" i="6"/>
  <c r="P13" i="6"/>
  <c r="O13" i="6"/>
  <c r="N13" i="6"/>
  <c r="M13" i="6"/>
  <c r="L13" i="6"/>
  <c r="K13" i="6"/>
  <c r="J13" i="6"/>
  <c r="I13" i="6"/>
  <c r="H13" i="6"/>
  <c r="G13" i="6"/>
  <c r="F13" i="6"/>
  <c r="E13" i="6"/>
  <c r="D13" i="6"/>
  <c r="C13" i="6"/>
  <c r="P12" i="6"/>
  <c r="O12" i="6"/>
  <c r="N12" i="6"/>
  <c r="M12" i="6"/>
  <c r="L12" i="6"/>
  <c r="K12" i="6"/>
  <c r="J12" i="6"/>
  <c r="I12" i="6"/>
  <c r="H12" i="6"/>
  <c r="G12" i="6"/>
  <c r="F12" i="6"/>
  <c r="E12" i="6"/>
  <c r="D12" i="6"/>
  <c r="C12" i="6"/>
  <c r="V9" i="6"/>
  <c r="U9" i="6"/>
  <c r="T9" i="6"/>
  <c r="S9" i="6"/>
  <c r="R9" i="6"/>
  <c r="Q9" i="6"/>
  <c r="V8" i="6"/>
  <c r="U8" i="6"/>
  <c r="T8" i="6"/>
  <c r="S8" i="6"/>
  <c r="R8" i="6"/>
  <c r="Q8" i="6"/>
  <c r="B8" i="6"/>
  <c r="V7" i="6"/>
  <c r="U7" i="6"/>
  <c r="T7" i="6"/>
  <c r="S7" i="6"/>
  <c r="R7" i="6"/>
  <c r="Q7" i="6"/>
  <c r="P7" i="6"/>
  <c r="O7" i="6"/>
  <c r="N7" i="6"/>
  <c r="M7" i="6"/>
  <c r="L7" i="6"/>
  <c r="K7" i="6"/>
  <c r="J7" i="6"/>
  <c r="I7" i="6"/>
  <c r="H7" i="6"/>
  <c r="G7" i="6"/>
  <c r="F7" i="6"/>
  <c r="E7" i="6"/>
  <c r="D7" i="6"/>
  <c r="C7" i="6"/>
  <c r="B7" i="6"/>
  <c r="V6" i="6"/>
  <c r="U6" i="6"/>
  <c r="T6" i="6"/>
  <c r="S6" i="6"/>
  <c r="R6" i="6"/>
  <c r="Q6" i="6"/>
  <c r="O6" i="6"/>
  <c r="V5" i="6"/>
  <c r="U5" i="6"/>
  <c r="T5" i="6"/>
  <c r="S5" i="6"/>
  <c r="R5" i="6"/>
  <c r="Q5" i="6"/>
  <c r="P65" i="4"/>
  <c r="P63" i="4"/>
  <c r="P60" i="4"/>
  <c r="O60" i="4"/>
  <c r="N60" i="4"/>
  <c r="M60" i="4"/>
  <c r="L60" i="4"/>
  <c r="K60" i="4"/>
  <c r="J60" i="4"/>
  <c r="I60" i="4"/>
  <c r="H60" i="4"/>
  <c r="G60" i="4"/>
  <c r="F60" i="4"/>
  <c r="E60" i="4"/>
  <c r="D60" i="4"/>
  <c r="C60" i="4"/>
  <c r="Q59" i="4"/>
  <c r="P59" i="4"/>
  <c r="O59" i="4"/>
  <c r="N59" i="4"/>
  <c r="M59" i="4"/>
  <c r="L59" i="4"/>
  <c r="K59" i="4"/>
  <c r="J59" i="4"/>
  <c r="I59" i="4"/>
  <c r="H59" i="4"/>
  <c r="G59" i="4"/>
  <c r="F59" i="4"/>
  <c r="E59" i="4"/>
  <c r="D59" i="4"/>
  <c r="C59" i="4"/>
  <c r="P57" i="4"/>
  <c r="O57" i="4"/>
  <c r="N57" i="4"/>
  <c r="M57" i="4"/>
  <c r="L57" i="4"/>
  <c r="K57" i="4"/>
  <c r="J57" i="4"/>
  <c r="I57" i="4"/>
  <c r="H57" i="4"/>
  <c r="G57" i="4"/>
  <c r="F57" i="4"/>
  <c r="E57" i="4"/>
  <c r="D57" i="4"/>
  <c r="C57" i="4"/>
  <c r="Q55" i="4"/>
  <c r="P55" i="4"/>
  <c r="O55" i="4"/>
  <c r="N55" i="4"/>
  <c r="M55" i="4"/>
  <c r="L55" i="4"/>
  <c r="K55" i="4"/>
  <c r="J55" i="4"/>
  <c r="I55" i="4"/>
  <c r="H55" i="4"/>
  <c r="G55" i="4"/>
  <c r="F55" i="4"/>
  <c r="E55" i="4"/>
  <c r="D55" i="4"/>
  <c r="C55" i="4"/>
  <c r="Q54" i="4"/>
  <c r="P54" i="4"/>
  <c r="O54" i="4"/>
  <c r="N54" i="4"/>
  <c r="M54" i="4"/>
  <c r="L54" i="4"/>
  <c r="K54" i="4"/>
  <c r="J54" i="4"/>
  <c r="I54" i="4"/>
  <c r="H54" i="4"/>
  <c r="G54" i="4"/>
  <c r="F54" i="4"/>
  <c r="E54" i="4"/>
  <c r="D54" i="4"/>
  <c r="C54" i="4"/>
  <c r="C52" i="4"/>
  <c r="Q51" i="4"/>
  <c r="P51" i="4"/>
  <c r="O51" i="4"/>
  <c r="N51" i="4"/>
  <c r="M51" i="4"/>
  <c r="L51" i="4"/>
  <c r="K51" i="4"/>
  <c r="J51" i="4"/>
  <c r="I51" i="4"/>
  <c r="H51" i="4"/>
  <c r="G51" i="4"/>
  <c r="F51" i="4"/>
  <c r="E51" i="4"/>
  <c r="D51" i="4"/>
  <c r="C51" i="4"/>
  <c r="P48" i="4"/>
  <c r="N48" i="4"/>
  <c r="H48" i="4"/>
  <c r="F48" i="4"/>
  <c r="Q47" i="4"/>
  <c r="P47" i="4"/>
  <c r="O47" i="4"/>
  <c r="N47" i="4"/>
  <c r="M47" i="4"/>
  <c r="L47" i="4"/>
  <c r="K47" i="4"/>
  <c r="J47" i="4"/>
  <c r="I47" i="4"/>
  <c r="H47" i="4"/>
  <c r="G47" i="4"/>
  <c r="F47" i="4"/>
  <c r="E47" i="4"/>
  <c r="D47" i="4"/>
  <c r="Q44" i="4"/>
  <c r="P44" i="4"/>
  <c r="O44" i="4"/>
  <c r="N44" i="4"/>
  <c r="M44" i="4"/>
  <c r="L44" i="4"/>
  <c r="K44" i="4"/>
  <c r="J44" i="4"/>
  <c r="I44" i="4"/>
  <c r="H44" i="4"/>
  <c r="G44" i="4"/>
  <c r="F44" i="4"/>
  <c r="E44" i="4"/>
  <c r="D44" i="4"/>
  <c r="V43" i="4"/>
  <c r="U43" i="4"/>
  <c r="T43" i="4"/>
  <c r="S43" i="4"/>
  <c r="R43" i="4"/>
  <c r="Q43" i="4"/>
  <c r="H43" i="4"/>
  <c r="P42" i="4"/>
  <c r="O42" i="4"/>
  <c r="N42" i="4"/>
  <c r="M42" i="4"/>
  <c r="L42" i="4"/>
  <c r="K42" i="4"/>
  <c r="J42" i="4"/>
  <c r="I42" i="4"/>
  <c r="H42" i="4"/>
  <c r="G42" i="4"/>
  <c r="F42" i="4"/>
  <c r="E42" i="4"/>
  <c r="D42" i="4"/>
  <c r="C42" i="4"/>
  <c r="L41" i="4"/>
  <c r="L45" i="4" s="1"/>
  <c r="J41" i="4"/>
  <c r="J45" i="4" s="1"/>
  <c r="D41" i="4"/>
  <c r="D45" i="4" s="1"/>
  <c r="R40" i="4"/>
  <c r="Q40" i="4"/>
  <c r="Q41" i="4" s="1"/>
  <c r="P40" i="4"/>
  <c r="P41" i="4" s="1"/>
  <c r="P45" i="4" s="1"/>
  <c r="O40" i="4"/>
  <c r="O41" i="4" s="1"/>
  <c r="O45" i="4" s="1"/>
  <c r="N40" i="4"/>
  <c r="N41" i="4" s="1"/>
  <c r="N45" i="4" s="1"/>
  <c r="M40" i="4"/>
  <c r="M41" i="4" s="1"/>
  <c r="M45" i="4" s="1"/>
  <c r="L40" i="4"/>
  <c r="K40" i="4"/>
  <c r="K41" i="4" s="1"/>
  <c r="K45" i="4" s="1"/>
  <c r="J40" i="4"/>
  <c r="I40" i="4"/>
  <c r="I41" i="4" s="1"/>
  <c r="I45" i="4" s="1"/>
  <c r="H40" i="4"/>
  <c r="H41" i="4" s="1"/>
  <c r="H45" i="4" s="1"/>
  <c r="G40" i="4"/>
  <c r="G41" i="4" s="1"/>
  <c r="G45" i="4" s="1"/>
  <c r="F40" i="4"/>
  <c r="F41" i="4" s="1"/>
  <c r="F45" i="4" s="1"/>
  <c r="E40" i="4"/>
  <c r="E41" i="4" s="1"/>
  <c r="E45" i="4" s="1"/>
  <c r="D40" i="4"/>
  <c r="C40" i="4"/>
  <c r="C41" i="4" s="1"/>
  <c r="C45" i="4" s="1"/>
  <c r="Q39" i="4"/>
  <c r="P39" i="4"/>
  <c r="O39" i="4"/>
  <c r="N39" i="4"/>
  <c r="M39" i="4"/>
  <c r="L39" i="4"/>
  <c r="K39" i="4"/>
  <c r="J39" i="4"/>
  <c r="I39" i="4"/>
  <c r="H39" i="4"/>
  <c r="G39" i="4"/>
  <c r="F39" i="4"/>
  <c r="E39" i="4"/>
  <c r="D39" i="4"/>
  <c r="C39" i="4"/>
  <c r="Q38" i="4"/>
  <c r="O38" i="4"/>
  <c r="V37" i="4"/>
  <c r="U37" i="4"/>
  <c r="T37" i="4"/>
  <c r="S37" i="4"/>
  <c r="R37" i="4"/>
  <c r="Q37" i="4"/>
  <c r="P37" i="4"/>
  <c r="O37" i="4"/>
  <c r="N37" i="4"/>
  <c r="M37" i="4"/>
  <c r="L37" i="4"/>
  <c r="K37" i="4"/>
  <c r="J37" i="4"/>
  <c r="I37" i="4"/>
  <c r="H37" i="4"/>
  <c r="G37" i="4"/>
  <c r="F37" i="4"/>
  <c r="E37" i="4"/>
  <c r="D37" i="4"/>
  <c r="C37" i="4"/>
  <c r="S35" i="4"/>
  <c r="R35" i="4"/>
  <c r="Q35" i="4"/>
  <c r="P35" i="4"/>
  <c r="O35" i="4"/>
  <c r="N35" i="4"/>
  <c r="M35" i="4"/>
  <c r="L35" i="4"/>
  <c r="K35" i="4"/>
  <c r="J35" i="4"/>
  <c r="I35" i="4"/>
  <c r="H35" i="4"/>
  <c r="G35" i="4"/>
  <c r="F35" i="4"/>
  <c r="E35" i="4"/>
  <c r="D35" i="4"/>
  <c r="C35" i="4"/>
  <c r="B35" i="4"/>
  <c r="P34" i="4"/>
  <c r="O34" i="4"/>
  <c r="N34" i="4"/>
  <c r="M34" i="4"/>
  <c r="L34" i="4"/>
  <c r="K34" i="4"/>
  <c r="J34" i="4"/>
  <c r="I34" i="4"/>
  <c r="H34" i="4"/>
  <c r="G34" i="4"/>
  <c r="F34" i="4"/>
  <c r="E34" i="4"/>
  <c r="D34" i="4"/>
  <c r="C34" i="4"/>
  <c r="P33" i="4"/>
  <c r="O33" i="4"/>
  <c r="N33" i="4"/>
  <c r="M33" i="4"/>
  <c r="L33" i="4"/>
  <c r="K33" i="4"/>
  <c r="J33" i="4"/>
  <c r="I33" i="4"/>
  <c r="H33" i="4"/>
  <c r="G33" i="4"/>
  <c r="F33" i="4"/>
  <c r="E33" i="4"/>
  <c r="D33" i="4"/>
  <c r="C33" i="4"/>
  <c r="P32" i="4"/>
  <c r="O32" i="4"/>
  <c r="N32" i="4"/>
  <c r="M32" i="4"/>
  <c r="L32" i="4"/>
  <c r="K32" i="4"/>
  <c r="J32" i="4"/>
  <c r="I32" i="4"/>
  <c r="H32" i="4"/>
  <c r="G32" i="4"/>
  <c r="F32" i="4"/>
  <c r="E32" i="4"/>
  <c r="D32" i="4"/>
  <c r="C32" i="4"/>
  <c r="V31" i="4"/>
  <c r="U31" i="4"/>
  <c r="T31" i="4"/>
  <c r="S31" i="4"/>
  <c r="R31" i="4"/>
  <c r="Q31" i="4"/>
  <c r="V30" i="4"/>
  <c r="U30" i="4"/>
  <c r="T30" i="4"/>
  <c r="S30" i="4"/>
  <c r="R30" i="4"/>
  <c r="Q30" i="4"/>
  <c r="P29" i="4"/>
  <c r="O29" i="4"/>
  <c r="N29" i="4"/>
  <c r="M29" i="4"/>
  <c r="L29" i="4"/>
  <c r="K29" i="4"/>
  <c r="E29" i="4"/>
  <c r="D29" i="4"/>
  <c r="C29" i="4"/>
  <c r="V27" i="4"/>
  <c r="U27" i="4"/>
  <c r="T27" i="4"/>
  <c r="S27" i="4"/>
  <c r="R27" i="4"/>
  <c r="Q27" i="4"/>
  <c r="V26" i="4"/>
  <c r="U26" i="4"/>
  <c r="T26" i="4"/>
  <c r="S26" i="4"/>
  <c r="R26" i="4"/>
  <c r="Q26" i="4"/>
  <c r="L26" i="4"/>
  <c r="K26" i="4"/>
  <c r="J26" i="4"/>
  <c r="I26" i="4"/>
  <c r="H26" i="4"/>
  <c r="G26" i="4"/>
  <c r="F26" i="4"/>
  <c r="E26" i="4"/>
  <c r="D26" i="4"/>
  <c r="C26" i="4"/>
  <c r="R25" i="4"/>
  <c r="Q25" i="4"/>
  <c r="O25" i="4"/>
  <c r="D25" i="4"/>
  <c r="Q23" i="4"/>
  <c r="P23" i="4"/>
  <c r="O23" i="4"/>
  <c r="N23" i="4"/>
  <c r="M23" i="4"/>
  <c r="L23" i="4"/>
  <c r="K23" i="4"/>
  <c r="J23" i="4"/>
  <c r="I23" i="4"/>
  <c r="H23" i="4"/>
  <c r="G23" i="4"/>
  <c r="F23" i="4"/>
  <c r="E23" i="4"/>
  <c r="D23" i="4"/>
  <c r="C23" i="4"/>
  <c r="V22" i="4"/>
  <c r="U22" i="4"/>
  <c r="T22" i="4"/>
  <c r="S22" i="4"/>
  <c r="R22" i="4"/>
  <c r="Q22" i="4"/>
  <c r="P22" i="4"/>
  <c r="O22" i="4"/>
  <c r="N22" i="4"/>
  <c r="M22" i="4"/>
  <c r="L22" i="4"/>
  <c r="K22" i="4"/>
  <c r="J22" i="4"/>
  <c r="I22" i="4"/>
  <c r="H22" i="4"/>
  <c r="G22" i="4"/>
  <c r="F22" i="4"/>
  <c r="E22" i="4"/>
  <c r="D22" i="4"/>
  <c r="C22" i="4"/>
  <c r="Q21" i="4"/>
  <c r="P21" i="4"/>
  <c r="O21" i="4"/>
  <c r="N21" i="4"/>
  <c r="M21" i="4"/>
  <c r="L21" i="4"/>
  <c r="K21" i="4"/>
  <c r="J21" i="4"/>
  <c r="I21" i="4"/>
  <c r="H21" i="4"/>
  <c r="G21" i="4"/>
  <c r="F21" i="4"/>
  <c r="E21" i="4"/>
  <c r="P20" i="4"/>
  <c r="O20" i="4"/>
  <c r="N20" i="4"/>
  <c r="M20" i="4"/>
  <c r="L20" i="4"/>
  <c r="K20" i="4"/>
  <c r="J20" i="4"/>
  <c r="I20" i="4"/>
  <c r="H20" i="4"/>
  <c r="E20" i="4"/>
  <c r="C20" i="4"/>
  <c r="V19" i="4"/>
  <c r="U19" i="4"/>
  <c r="T19" i="4"/>
  <c r="S19" i="4"/>
  <c r="R19" i="4"/>
  <c r="Q19" i="4"/>
  <c r="P19" i="4"/>
  <c r="O19" i="4"/>
  <c r="N19" i="4"/>
  <c r="M19" i="4"/>
  <c r="L19" i="4"/>
  <c r="K19" i="4"/>
  <c r="J19" i="4"/>
  <c r="I19" i="4"/>
  <c r="H19" i="4"/>
  <c r="G19" i="4"/>
  <c r="F19" i="4"/>
  <c r="E19" i="4"/>
  <c r="D19" i="4"/>
  <c r="C19" i="4"/>
  <c r="V18" i="4"/>
  <c r="U18" i="4"/>
  <c r="T18" i="4"/>
  <c r="S18" i="4"/>
  <c r="R18" i="4"/>
  <c r="Q18" i="4"/>
  <c r="V17" i="4"/>
  <c r="U17" i="4"/>
  <c r="T17" i="4"/>
  <c r="S17" i="4"/>
  <c r="R17" i="4"/>
  <c r="Q17" i="4"/>
  <c r="P17" i="4"/>
  <c r="O17" i="4"/>
  <c r="N17" i="4"/>
  <c r="M17" i="4"/>
  <c r="L17" i="4"/>
  <c r="K17" i="4"/>
  <c r="J17" i="4"/>
  <c r="I17" i="4"/>
  <c r="H17" i="4"/>
  <c r="G17" i="4"/>
  <c r="F17" i="4"/>
  <c r="Q14" i="4"/>
  <c r="P14" i="4"/>
  <c r="O14" i="4"/>
  <c r="N14" i="4"/>
  <c r="M14" i="4"/>
  <c r="L14" i="4"/>
  <c r="K14" i="4"/>
  <c r="J14" i="4"/>
  <c r="I14" i="4"/>
  <c r="H14" i="4"/>
  <c r="G14" i="4"/>
  <c r="F14" i="4"/>
  <c r="E14" i="4"/>
  <c r="D14" i="4"/>
  <c r="C14" i="4"/>
  <c r="V13" i="4"/>
  <c r="U13" i="4"/>
  <c r="T13" i="4"/>
  <c r="S13" i="4"/>
  <c r="R13" i="4"/>
  <c r="Q13" i="4"/>
  <c r="V12" i="4"/>
  <c r="U12" i="4"/>
  <c r="T12" i="4"/>
  <c r="S12" i="4"/>
  <c r="R12" i="4"/>
  <c r="Q12" i="4"/>
  <c r="N10" i="4"/>
  <c r="N61" i="4" s="1"/>
  <c r="M10" i="4"/>
  <c r="M61" i="4" s="1"/>
  <c r="L10" i="4"/>
  <c r="L61" i="4" s="1"/>
  <c r="F10" i="4"/>
  <c r="F61" i="4" s="1"/>
  <c r="E10" i="4"/>
  <c r="E61" i="4" s="1"/>
  <c r="D10" i="4"/>
  <c r="D61" i="4" s="1"/>
  <c r="Q9" i="4"/>
  <c r="P9" i="4"/>
  <c r="P10" i="4" s="1"/>
  <c r="O9" i="4"/>
  <c r="O48" i="4" s="1"/>
  <c r="N9" i="4"/>
  <c r="M9" i="4"/>
  <c r="M48" i="4" s="1"/>
  <c r="L9" i="4"/>
  <c r="L48" i="4" s="1"/>
  <c r="K9" i="4"/>
  <c r="K10" i="4" s="1"/>
  <c r="J9" i="4"/>
  <c r="J10" i="4" s="1"/>
  <c r="I9" i="4"/>
  <c r="I10" i="4" s="1"/>
  <c r="H9" i="4"/>
  <c r="H10" i="4" s="1"/>
  <c r="G9" i="4"/>
  <c r="G48" i="4" s="1"/>
  <c r="F9" i="4"/>
  <c r="E9" i="4"/>
  <c r="E48" i="4" s="1"/>
  <c r="D9" i="4"/>
  <c r="D48" i="4" s="1"/>
  <c r="C9" i="4"/>
  <c r="C10" i="4" s="1"/>
  <c r="Q8" i="4"/>
  <c r="P8" i="4"/>
  <c r="O8" i="4"/>
  <c r="N8" i="4"/>
  <c r="M8" i="4"/>
  <c r="L8" i="4"/>
  <c r="K8" i="4"/>
  <c r="J8" i="4"/>
  <c r="I8" i="4"/>
  <c r="H8" i="4"/>
  <c r="G8" i="4"/>
  <c r="F8" i="4"/>
  <c r="E8" i="4"/>
  <c r="D8" i="4"/>
  <c r="C8" i="4"/>
  <c r="Q7" i="4"/>
  <c r="P7" i="4"/>
  <c r="O7" i="4"/>
  <c r="N7" i="4"/>
  <c r="M7" i="4"/>
  <c r="L7" i="4"/>
  <c r="K7" i="4"/>
  <c r="J7" i="4"/>
  <c r="I7" i="4"/>
  <c r="H7" i="4"/>
  <c r="G7" i="4"/>
  <c r="F7" i="4"/>
  <c r="E7" i="4"/>
  <c r="D7" i="4"/>
  <c r="C7" i="4"/>
  <c r="W6" i="4"/>
  <c r="Q6" i="4"/>
  <c r="P6" i="4"/>
  <c r="O6" i="4"/>
  <c r="N6" i="4"/>
  <c r="M6" i="4"/>
  <c r="L6" i="4"/>
  <c r="K6" i="4"/>
  <c r="J6" i="4"/>
  <c r="I6" i="4"/>
  <c r="H6" i="4"/>
  <c r="G6" i="4"/>
  <c r="F6" i="4"/>
  <c r="E6" i="4"/>
  <c r="D6" i="4"/>
  <c r="C6" i="4"/>
  <c r="AL14" i="3"/>
  <c r="AK14" i="3"/>
  <c r="AJ14" i="3"/>
  <c r="AI14" i="3"/>
  <c r="AH14" i="3"/>
  <c r="AG14" i="3"/>
  <c r="AF14" i="3"/>
  <c r="AE14" i="3"/>
  <c r="AD14" i="3"/>
  <c r="AC14" i="3"/>
  <c r="AB14" i="3"/>
  <c r="AA14" i="3"/>
  <c r="Z14" i="3"/>
  <c r="Y14" i="3"/>
  <c r="X14" i="3"/>
  <c r="V14" i="3"/>
  <c r="U14" i="3"/>
  <c r="T14" i="3"/>
  <c r="Q14" i="3"/>
  <c r="P14" i="3"/>
  <c r="O14" i="3"/>
  <c r="N14" i="3"/>
  <c r="M14" i="3"/>
  <c r="L14" i="3"/>
  <c r="K14" i="3"/>
  <c r="J14" i="3"/>
  <c r="I14" i="3"/>
  <c r="H14" i="3"/>
  <c r="G14" i="3"/>
  <c r="F14" i="3"/>
  <c r="E14" i="3"/>
  <c r="D14" i="3"/>
  <c r="C14" i="3"/>
  <c r="AQ11" i="3"/>
  <c r="AP11" i="3"/>
  <c r="AO11" i="3"/>
  <c r="AN11" i="3"/>
  <c r="AM11" i="3"/>
  <c r="AQ10" i="3"/>
  <c r="AP10" i="3"/>
  <c r="AO10" i="3"/>
  <c r="AN10" i="3"/>
  <c r="AM10" i="3"/>
  <c r="Q57" i="2"/>
  <c r="P57" i="2"/>
  <c r="O57" i="2"/>
  <c r="N57" i="2"/>
  <c r="M57" i="2"/>
  <c r="L57" i="2"/>
  <c r="K57" i="2"/>
  <c r="J57" i="2"/>
  <c r="I57" i="2"/>
  <c r="H57" i="2"/>
  <c r="G57" i="2"/>
  <c r="F57" i="2"/>
  <c r="E57" i="2"/>
  <c r="D57" i="2"/>
  <c r="Q56" i="2"/>
  <c r="P56" i="2"/>
  <c r="O56" i="2"/>
  <c r="N56" i="2"/>
  <c r="M56" i="2"/>
  <c r="L56" i="2"/>
  <c r="K56" i="2"/>
  <c r="J56" i="2"/>
  <c r="I56" i="2"/>
  <c r="H56" i="2"/>
  <c r="G56" i="2"/>
  <c r="F56" i="2"/>
  <c r="E56" i="2"/>
  <c r="D56" i="2"/>
  <c r="Q55" i="2"/>
  <c r="P55" i="2"/>
  <c r="O55" i="2"/>
  <c r="N55" i="2"/>
  <c r="M55" i="2"/>
  <c r="L55" i="2"/>
  <c r="K55" i="2"/>
  <c r="J55" i="2"/>
  <c r="I55" i="2"/>
  <c r="H55" i="2"/>
  <c r="G55" i="2"/>
  <c r="F55" i="2"/>
  <c r="E55" i="2"/>
  <c r="D55" i="2"/>
  <c r="C55" i="2"/>
  <c r="Q54" i="2"/>
  <c r="P54" i="2"/>
  <c r="O54" i="2"/>
  <c r="N54" i="2"/>
  <c r="M54" i="2"/>
  <c r="L54" i="2"/>
  <c r="K54" i="2"/>
  <c r="J54" i="2"/>
  <c r="I54" i="2"/>
  <c r="H54" i="2"/>
  <c r="G54" i="2"/>
  <c r="F54" i="2"/>
  <c r="E54" i="2"/>
  <c r="D54" i="2"/>
  <c r="C54" i="2"/>
  <c r="Q53" i="2"/>
  <c r="P53" i="2"/>
  <c r="O53" i="2"/>
  <c r="N53" i="2"/>
  <c r="M53" i="2"/>
  <c r="L53" i="2"/>
  <c r="K53" i="2"/>
  <c r="J53" i="2"/>
  <c r="I53" i="2"/>
  <c r="H53" i="2"/>
  <c r="G53" i="2"/>
  <c r="F53" i="2"/>
  <c r="E53" i="2"/>
  <c r="D53" i="2"/>
  <c r="C53" i="2"/>
  <c r="V52" i="2"/>
  <c r="U52" i="2"/>
  <c r="T52" i="2"/>
  <c r="R52" i="2"/>
  <c r="Q52" i="2"/>
  <c r="P52" i="2"/>
  <c r="O52" i="2"/>
  <c r="N52" i="2"/>
  <c r="M52" i="2"/>
  <c r="L52" i="2"/>
  <c r="K52" i="2"/>
  <c r="J52" i="2"/>
  <c r="I52" i="2"/>
  <c r="H52" i="2"/>
  <c r="G52" i="2"/>
  <c r="F52" i="2"/>
  <c r="E52" i="2"/>
  <c r="D52" i="2"/>
  <c r="W51" i="2"/>
  <c r="V51" i="2"/>
  <c r="U51" i="2"/>
  <c r="T51" i="2"/>
  <c r="S51" i="2"/>
  <c r="R51" i="2"/>
  <c r="S52" i="2" s="1"/>
  <c r="Q51" i="2"/>
  <c r="P51" i="2"/>
  <c r="O51" i="2"/>
  <c r="N51" i="2"/>
  <c r="M51" i="2"/>
  <c r="L51" i="2"/>
  <c r="K51" i="2"/>
  <c r="J51" i="2"/>
  <c r="I51" i="2"/>
  <c r="H51" i="2"/>
  <c r="G51" i="2"/>
  <c r="F51" i="2"/>
  <c r="E51" i="2"/>
  <c r="D51" i="2"/>
  <c r="C51" i="2"/>
  <c r="Q48" i="2"/>
  <c r="P48" i="2"/>
  <c r="O48" i="2"/>
  <c r="N48" i="2"/>
  <c r="M48" i="2"/>
  <c r="L48" i="2"/>
  <c r="K48" i="2"/>
  <c r="J48" i="2"/>
  <c r="I48" i="2"/>
  <c r="H48" i="2"/>
  <c r="G48" i="2"/>
  <c r="F48" i="2"/>
  <c r="E48" i="2"/>
  <c r="D48" i="2"/>
  <c r="C48" i="2"/>
  <c r="R47" i="2"/>
  <c r="Q47" i="2"/>
  <c r="P47" i="2"/>
  <c r="O47" i="2"/>
  <c r="N47" i="2"/>
  <c r="M47" i="2"/>
  <c r="L47" i="2"/>
  <c r="K47" i="2"/>
  <c r="J47" i="2"/>
  <c r="I47" i="2"/>
  <c r="H47" i="2"/>
  <c r="G47" i="2"/>
  <c r="F47" i="2"/>
  <c r="E47" i="2"/>
  <c r="D47" i="2"/>
  <c r="W46" i="2"/>
  <c r="Q46" i="2"/>
  <c r="P46" i="2"/>
  <c r="O46" i="2"/>
  <c r="N46" i="2"/>
  <c r="M46" i="2"/>
  <c r="L46" i="2"/>
  <c r="K46" i="2"/>
  <c r="J46" i="2"/>
  <c r="I46" i="2"/>
  <c r="H46" i="2"/>
  <c r="G46" i="2"/>
  <c r="F46" i="2"/>
  <c r="E46" i="2"/>
  <c r="D46" i="2"/>
  <c r="C46" i="2"/>
  <c r="V41" i="2"/>
  <c r="U41" i="2"/>
  <c r="T41" i="2"/>
  <c r="S41" i="2"/>
  <c r="Q41" i="2"/>
  <c r="P41" i="2"/>
  <c r="O41" i="2"/>
  <c r="N41" i="2"/>
  <c r="M41" i="2"/>
  <c r="L41" i="2"/>
  <c r="K41" i="2"/>
  <c r="J41" i="2"/>
  <c r="I41" i="2"/>
  <c r="H41" i="2"/>
  <c r="G41" i="2"/>
  <c r="F41" i="2"/>
  <c r="E41" i="2"/>
  <c r="D41" i="2"/>
  <c r="C41" i="2"/>
  <c r="T39" i="2"/>
  <c r="V36" i="2"/>
  <c r="V46" i="2" s="1"/>
  <c r="U36" i="2"/>
  <c r="U46" i="2" s="1"/>
  <c r="T36" i="2"/>
  <c r="T46" i="2" s="1"/>
  <c r="S36" i="2"/>
  <c r="S46" i="2" s="1"/>
  <c r="S88" i="6" s="1"/>
  <c r="Q36" i="2"/>
  <c r="P36" i="2"/>
  <c r="O36" i="2"/>
  <c r="N36" i="2"/>
  <c r="M36" i="2"/>
  <c r="L36" i="2"/>
  <c r="K36" i="2"/>
  <c r="J36" i="2"/>
  <c r="I36" i="2"/>
  <c r="H36" i="2"/>
  <c r="G36" i="2"/>
  <c r="F36" i="2"/>
  <c r="E36" i="2"/>
  <c r="D36" i="2"/>
  <c r="C36" i="2"/>
  <c r="Q34" i="2"/>
  <c r="P34" i="2"/>
  <c r="O34" i="2"/>
  <c r="N34" i="2"/>
  <c r="M34" i="2"/>
  <c r="L34" i="2"/>
  <c r="K34" i="2"/>
  <c r="J34" i="2"/>
  <c r="I34" i="2"/>
  <c r="H34" i="2"/>
  <c r="G34" i="2"/>
  <c r="F34" i="2"/>
  <c r="E34" i="2"/>
  <c r="D34" i="2"/>
  <c r="C34" i="2"/>
  <c r="R33" i="2"/>
  <c r="Q33" i="2"/>
  <c r="P33" i="2"/>
  <c r="O33" i="2"/>
  <c r="N33" i="2"/>
  <c r="M33" i="2"/>
  <c r="L33" i="2"/>
  <c r="K33" i="2"/>
  <c r="J33" i="2"/>
  <c r="I33" i="2"/>
  <c r="H33" i="2"/>
  <c r="G33" i="2"/>
  <c r="F33" i="2"/>
  <c r="E33" i="2"/>
  <c r="D33" i="2"/>
  <c r="W32" i="2"/>
  <c r="V32" i="2"/>
  <c r="U32" i="2"/>
  <c r="T32" i="2"/>
  <c r="Q32" i="2"/>
  <c r="P32" i="2"/>
  <c r="O32" i="2"/>
  <c r="N32" i="2"/>
  <c r="M32" i="2"/>
  <c r="L32" i="2"/>
  <c r="K32" i="2"/>
  <c r="J32" i="2"/>
  <c r="I32" i="2"/>
  <c r="H32" i="2"/>
  <c r="G32" i="2"/>
  <c r="F32" i="2"/>
  <c r="E32" i="2"/>
  <c r="D32" i="2"/>
  <c r="C32" i="2"/>
  <c r="V24" i="2"/>
  <c r="U24" i="2"/>
  <c r="T24" i="2"/>
  <c r="Q24" i="2"/>
  <c r="P24" i="2"/>
  <c r="O24" i="2"/>
  <c r="N24" i="2"/>
  <c r="M24" i="2"/>
  <c r="L24" i="2"/>
  <c r="K24" i="2"/>
  <c r="J24" i="2"/>
  <c r="I24" i="2"/>
  <c r="H24" i="2"/>
  <c r="G24" i="2"/>
  <c r="F24" i="2"/>
  <c r="E24" i="2"/>
  <c r="D24" i="2"/>
  <c r="C24" i="2"/>
  <c r="V20" i="2"/>
  <c r="U20" i="2"/>
  <c r="T20" i="2"/>
  <c r="R20" i="2"/>
  <c r="Q20" i="2"/>
  <c r="P20" i="2"/>
  <c r="O20" i="2"/>
  <c r="N20" i="2"/>
  <c r="M20" i="2"/>
  <c r="L20" i="2"/>
  <c r="K20" i="2"/>
  <c r="J20" i="2"/>
  <c r="I20" i="2"/>
  <c r="H20" i="2"/>
  <c r="G20" i="2"/>
  <c r="F20" i="2"/>
  <c r="E20" i="2"/>
  <c r="D20" i="2"/>
  <c r="C20" i="2"/>
  <c r="V19" i="2"/>
  <c r="U19" i="2"/>
  <c r="T19" i="2"/>
  <c r="Q19" i="2"/>
  <c r="P19" i="2"/>
  <c r="O19" i="2"/>
  <c r="N19" i="2"/>
  <c r="M19" i="2"/>
  <c r="L19" i="2"/>
  <c r="K19" i="2"/>
  <c r="J19" i="2"/>
  <c r="I19" i="2"/>
  <c r="H19" i="2"/>
  <c r="G19" i="2"/>
  <c r="F19" i="2"/>
  <c r="E19" i="2"/>
  <c r="D19" i="2"/>
  <c r="C19" i="2"/>
  <c r="Q15" i="2"/>
  <c r="P15" i="2"/>
  <c r="O15" i="2"/>
  <c r="N15" i="2"/>
  <c r="M15" i="2"/>
  <c r="L15" i="2"/>
  <c r="K15" i="2"/>
  <c r="J15" i="2"/>
  <c r="I15" i="2"/>
  <c r="H15" i="2"/>
  <c r="G15" i="2"/>
  <c r="F15" i="2"/>
  <c r="E15" i="2"/>
  <c r="D15" i="2"/>
  <c r="C15" i="2"/>
  <c r="R14" i="2"/>
  <c r="Q14" i="2"/>
  <c r="P14" i="2"/>
  <c r="O14" i="2"/>
  <c r="N14" i="2"/>
  <c r="M14" i="2"/>
  <c r="L14" i="2"/>
  <c r="K14" i="2"/>
  <c r="J14" i="2"/>
  <c r="I14" i="2"/>
  <c r="H14" i="2"/>
  <c r="G14" i="2"/>
  <c r="F14" i="2"/>
  <c r="E14" i="2"/>
  <c r="D14" i="2"/>
  <c r="W13" i="2"/>
  <c r="U13" i="2"/>
  <c r="T13" i="2"/>
  <c r="U14" i="2" s="1"/>
  <c r="S13" i="2"/>
  <c r="T14" i="2" s="1"/>
  <c r="Q13" i="2"/>
  <c r="P13" i="2"/>
  <c r="O13" i="2"/>
  <c r="N13" i="2"/>
  <c r="M13" i="2"/>
  <c r="L13" i="2"/>
  <c r="K13" i="2"/>
  <c r="J13" i="2"/>
  <c r="I13" i="2"/>
  <c r="H13" i="2"/>
  <c r="G13" i="2"/>
  <c r="F13" i="2"/>
  <c r="E13" i="2"/>
  <c r="D13" i="2"/>
  <c r="C13" i="2"/>
  <c r="Q12" i="2"/>
  <c r="P12" i="2"/>
  <c r="O12" i="2"/>
  <c r="N12" i="2"/>
  <c r="M12" i="2"/>
  <c r="L12" i="2"/>
  <c r="K12" i="2"/>
  <c r="J12" i="2"/>
  <c r="I12" i="2"/>
  <c r="H12" i="2"/>
  <c r="G12" i="2"/>
  <c r="F12" i="2"/>
  <c r="E12" i="2"/>
  <c r="D12" i="2"/>
  <c r="C12" i="2"/>
  <c r="V8" i="2"/>
  <c r="U8" i="2"/>
  <c r="T8" i="2"/>
  <c r="S8" i="2"/>
  <c r="R8" i="2"/>
  <c r="Q6" i="2"/>
  <c r="P6" i="2"/>
  <c r="O6" i="2"/>
  <c r="N6" i="2"/>
  <c r="M6" i="2"/>
  <c r="L6" i="2"/>
  <c r="K6" i="2"/>
  <c r="J6" i="2"/>
  <c r="I6" i="2"/>
  <c r="H6" i="2"/>
  <c r="G6" i="2"/>
  <c r="F6" i="2"/>
  <c r="E6" i="2"/>
  <c r="D6" i="2"/>
  <c r="C6" i="2"/>
  <c r="V5" i="2"/>
  <c r="U5" i="2"/>
  <c r="T5" i="2"/>
  <c r="S5" i="2"/>
  <c r="R5" i="2"/>
  <c r="Q5" i="2"/>
  <c r="A1" i="2"/>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C89" i="1"/>
  <c r="W88" i="1"/>
  <c r="Q88" i="1"/>
  <c r="P88" i="1"/>
  <c r="O88" i="1"/>
  <c r="N88" i="1"/>
  <c r="M88" i="1"/>
  <c r="L88" i="1"/>
  <c r="K88" i="1"/>
  <c r="J88" i="1"/>
  <c r="I88" i="1"/>
  <c r="H88" i="1"/>
  <c r="G88" i="1"/>
  <c r="F88" i="1"/>
  <c r="E88" i="1"/>
  <c r="D88" i="1"/>
  <c r="C88" i="1"/>
  <c r="X85" i="1"/>
  <c r="W85" i="1"/>
  <c r="V85" i="1"/>
  <c r="U85" i="1"/>
  <c r="T85" i="1"/>
  <c r="S85" i="1"/>
  <c r="R85" i="1"/>
  <c r="Q85" i="1"/>
  <c r="C85" i="1"/>
  <c r="C85" i="1" a="1"/>
  <c r="X84" i="1"/>
  <c r="W84" i="1"/>
  <c r="V84" i="1"/>
  <c r="U84" i="1"/>
  <c r="T84" i="1"/>
  <c r="S84" i="1"/>
  <c r="R84" i="1"/>
  <c r="Q84" i="1"/>
  <c r="C84" i="1"/>
  <c r="C84" i="1" a="1"/>
  <c r="X83" i="1"/>
  <c r="W83" i="1"/>
  <c r="V83" i="1"/>
  <c r="U83" i="1"/>
  <c r="T83" i="1"/>
  <c r="S83" i="1"/>
  <c r="R83" i="1"/>
  <c r="Q83" i="1"/>
  <c r="C83" i="1"/>
  <c r="C83" i="1" a="1"/>
  <c r="X82" i="1"/>
  <c r="W82" i="1"/>
  <c r="V82" i="1"/>
  <c r="U82" i="1"/>
  <c r="T82" i="1"/>
  <c r="S82" i="1"/>
  <c r="R82" i="1"/>
  <c r="Q82" i="1"/>
  <c r="C82" i="1"/>
  <c r="C82" i="1" a="1"/>
  <c r="X81" i="1"/>
  <c r="W81" i="1"/>
  <c r="V81" i="1"/>
  <c r="U81" i="1"/>
  <c r="T81" i="1"/>
  <c r="S81" i="1"/>
  <c r="R81" i="1"/>
  <c r="Q81" i="1"/>
  <c r="C81" i="1"/>
  <c r="C81" i="1" a="1"/>
  <c r="X80" i="1"/>
  <c r="W80" i="1"/>
  <c r="V80" i="1"/>
  <c r="U80" i="1"/>
  <c r="T80" i="1"/>
  <c r="S80" i="1"/>
  <c r="R80" i="1"/>
  <c r="Q80" i="1"/>
  <c r="P80" i="1"/>
  <c r="O80" i="1"/>
  <c r="N80" i="1"/>
  <c r="M80" i="1"/>
  <c r="L80" i="1"/>
  <c r="K80" i="1"/>
  <c r="J80" i="1"/>
  <c r="C80" i="1"/>
  <c r="C80" i="1" a="1"/>
  <c r="X79" i="1"/>
  <c r="W79" i="1"/>
  <c r="V79" i="1"/>
  <c r="U79" i="1"/>
  <c r="T79" i="1"/>
  <c r="S79" i="1"/>
  <c r="R79" i="1"/>
  <c r="Q79" i="1"/>
  <c r="P79" i="1"/>
  <c r="O79" i="1"/>
  <c r="N79" i="1"/>
  <c r="M79" i="1"/>
  <c r="L79" i="1"/>
  <c r="X78" i="1"/>
  <c r="W78" i="1"/>
  <c r="V78" i="1"/>
  <c r="U78" i="1"/>
  <c r="T78" i="1"/>
  <c r="S78" i="1"/>
  <c r="R78" i="1"/>
  <c r="Q78" i="1"/>
  <c r="X77" i="1"/>
  <c r="W77" i="1"/>
  <c r="V77" i="1"/>
  <c r="U77" i="1"/>
  <c r="T77" i="1"/>
  <c r="S77" i="1"/>
  <c r="R77" i="1"/>
  <c r="Q77" i="1"/>
  <c r="X76" i="1"/>
  <c r="W76" i="1"/>
  <c r="V76" i="1"/>
  <c r="U76" i="1"/>
  <c r="T76" i="1"/>
  <c r="S76" i="1"/>
  <c r="R76" i="1"/>
  <c r="Q76" i="1"/>
  <c r="X75" i="1"/>
  <c r="W75" i="1"/>
  <c r="V75" i="1"/>
  <c r="U75" i="1"/>
  <c r="T75" i="1"/>
  <c r="S75" i="1"/>
  <c r="R75" i="1"/>
  <c r="Q75" i="1"/>
  <c r="W74" i="1"/>
  <c r="Q74" i="1"/>
  <c r="P74" i="1"/>
  <c r="O74" i="1"/>
  <c r="N74" i="1"/>
  <c r="M74" i="1"/>
  <c r="L74" i="1"/>
  <c r="K74" i="1"/>
  <c r="J74" i="1"/>
  <c r="I74" i="1"/>
  <c r="H74" i="1"/>
  <c r="G74" i="1"/>
  <c r="F74" i="1"/>
  <c r="E74" i="1"/>
  <c r="D74" i="1"/>
  <c r="C74" i="1"/>
  <c r="Q71" i="1"/>
  <c r="P71" i="1"/>
  <c r="O71" i="1"/>
  <c r="N71" i="1"/>
  <c r="M71" i="1"/>
  <c r="L71" i="1"/>
  <c r="K71" i="1"/>
  <c r="J71" i="1"/>
  <c r="I71" i="1"/>
  <c r="H71" i="1"/>
  <c r="G71" i="1"/>
  <c r="F71" i="1"/>
  <c r="E71" i="1"/>
  <c r="D71" i="1"/>
  <c r="C71" i="1"/>
  <c r="Q70" i="1"/>
  <c r="P70" i="1"/>
  <c r="O70" i="1"/>
  <c r="N70" i="1"/>
  <c r="M70" i="1"/>
  <c r="L70" i="1"/>
  <c r="K70" i="1"/>
  <c r="J70" i="1"/>
  <c r="I70" i="1"/>
  <c r="H70" i="1"/>
  <c r="G70" i="1"/>
  <c r="F70" i="1"/>
  <c r="E70" i="1"/>
  <c r="D70" i="1"/>
  <c r="C70" i="1"/>
  <c r="Q68" i="1"/>
  <c r="P68" i="1"/>
  <c r="O68" i="1"/>
  <c r="N68" i="1"/>
  <c r="M68" i="1"/>
  <c r="L68" i="1"/>
  <c r="K68" i="1"/>
  <c r="J68" i="1"/>
  <c r="I68" i="1"/>
  <c r="H68" i="1"/>
  <c r="G68" i="1"/>
  <c r="F68" i="1"/>
  <c r="E68" i="1"/>
  <c r="D68" i="1"/>
  <c r="C68" i="1"/>
  <c r="Q67" i="1"/>
  <c r="P67" i="1"/>
  <c r="O67" i="1"/>
  <c r="N67" i="1"/>
  <c r="M67" i="1"/>
  <c r="L67" i="1"/>
  <c r="K67" i="1"/>
  <c r="J67" i="1"/>
  <c r="I67" i="1"/>
  <c r="H67" i="1"/>
  <c r="G67" i="1"/>
  <c r="F67" i="1"/>
  <c r="E67" i="1"/>
  <c r="D67" i="1"/>
  <c r="C67" i="1"/>
  <c r="Q65" i="1"/>
  <c r="P65" i="1"/>
  <c r="O65" i="1"/>
  <c r="N65" i="1"/>
  <c r="M65" i="1"/>
  <c r="L65" i="1"/>
  <c r="K65" i="1"/>
  <c r="J65" i="1"/>
  <c r="I65" i="1"/>
  <c r="H65" i="1"/>
  <c r="G65" i="1"/>
  <c r="F65" i="1"/>
  <c r="E65" i="1"/>
  <c r="D65" i="1"/>
  <c r="C65" i="1"/>
  <c r="B65" i="1"/>
  <c r="V64" i="1"/>
  <c r="U64" i="1"/>
  <c r="T64" i="1"/>
  <c r="S64" i="1"/>
  <c r="R64" i="1"/>
  <c r="Q64" i="1"/>
  <c r="P64" i="1"/>
  <c r="O64" i="1"/>
  <c r="N64" i="1"/>
  <c r="M64" i="1"/>
  <c r="L64" i="1"/>
  <c r="D64" i="1"/>
  <c r="C64" i="1"/>
  <c r="Q63" i="1"/>
  <c r="P63" i="1"/>
  <c r="O63" i="1"/>
  <c r="N63" i="1"/>
  <c r="M63" i="1"/>
  <c r="L63" i="1"/>
  <c r="K63" i="1"/>
  <c r="J63" i="1"/>
  <c r="I63" i="1"/>
  <c r="H63" i="1"/>
  <c r="G63" i="1"/>
  <c r="F63" i="1"/>
  <c r="E63" i="1"/>
  <c r="D63" i="1"/>
  <c r="C63" i="1"/>
  <c r="B63" i="1"/>
  <c r="X62" i="1"/>
  <c r="W62" i="1"/>
  <c r="V62" i="1"/>
  <c r="U62" i="1"/>
  <c r="T62" i="1"/>
  <c r="S62" i="1"/>
  <c r="R62" i="1"/>
  <c r="Q62" i="1"/>
  <c r="W61" i="1"/>
  <c r="Q61" i="1"/>
  <c r="P61" i="1"/>
  <c r="O61" i="1"/>
  <c r="N61" i="1"/>
  <c r="M61" i="1"/>
  <c r="L61" i="1"/>
  <c r="K61" i="1"/>
  <c r="J61" i="1"/>
  <c r="I61" i="1"/>
  <c r="H61" i="1"/>
  <c r="G61" i="1"/>
  <c r="F61" i="1"/>
  <c r="E61" i="1"/>
  <c r="D61" i="1"/>
  <c r="C61" i="1"/>
  <c r="V58" i="1"/>
  <c r="U58" i="1"/>
  <c r="T58" i="1"/>
  <c r="S58" i="1"/>
  <c r="Q58" i="1"/>
  <c r="P58" i="1"/>
  <c r="O58" i="1"/>
  <c r="N58" i="1"/>
  <c r="M58" i="1"/>
  <c r="L58" i="1"/>
  <c r="K58" i="1"/>
  <c r="J58" i="1"/>
  <c r="I58" i="1"/>
  <c r="H58" i="1"/>
  <c r="G58" i="1"/>
  <c r="F58" i="1"/>
  <c r="E58" i="1"/>
  <c r="D58" i="1"/>
  <c r="C58" i="1"/>
  <c r="V57" i="1"/>
  <c r="U57" i="1"/>
  <c r="T57" i="1"/>
  <c r="S57" i="1"/>
  <c r="Q57" i="1"/>
  <c r="P57" i="1"/>
  <c r="O57" i="1"/>
  <c r="N57" i="1"/>
  <c r="M57" i="1"/>
  <c r="L57" i="1"/>
  <c r="K57" i="1"/>
  <c r="J57" i="1"/>
  <c r="I57" i="1"/>
  <c r="H57" i="1"/>
  <c r="G57" i="1"/>
  <c r="F57" i="1"/>
  <c r="E57" i="1"/>
  <c r="D57" i="1"/>
  <c r="C57" i="1"/>
  <c r="X55" i="1"/>
  <c r="W55" i="1"/>
  <c r="V55" i="1"/>
  <c r="U55" i="1"/>
  <c r="T55" i="1"/>
  <c r="S55" i="1"/>
  <c r="R55" i="1"/>
  <c r="Q55" i="1"/>
  <c r="P55" i="1"/>
  <c r="O55" i="1"/>
  <c r="N55" i="1"/>
  <c r="M55" i="1"/>
  <c r="L55" i="1"/>
  <c r="K55" i="1"/>
  <c r="J55" i="1"/>
  <c r="I55" i="1"/>
  <c r="H55" i="1"/>
  <c r="G55" i="1"/>
  <c r="F55" i="1"/>
  <c r="E55" i="1"/>
  <c r="D55" i="1"/>
  <c r="C55" i="1"/>
  <c r="Q52" i="1"/>
  <c r="P52" i="1"/>
  <c r="O52" i="1"/>
  <c r="N52" i="1"/>
  <c r="M52" i="1"/>
  <c r="L52" i="1"/>
  <c r="K52" i="1"/>
  <c r="J52" i="1"/>
  <c r="I52" i="1"/>
  <c r="H52" i="1"/>
  <c r="G52" i="1"/>
  <c r="F52" i="1"/>
  <c r="E52" i="1"/>
  <c r="D52" i="1"/>
  <c r="C52" i="1"/>
  <c r="Q51" i="1"/>
  <c r="P51" i="1"/>
  <c r="O51" i="1"/>
  <c r="N51" i="1"/>
  <c r="M51" i="1"/>
  <c r="L51" i="1"/>
  <c r="K51" i="1"/>
  <c r="J51" i="1"/>
  <c r="I51" i="1"/>
  <c r="H51" i="1"/>
  <c r="G51" i="1"/>
  <c r="F51" i="1"/>
  <c r="E51" i="1"/>
  <c r="D51" i="1"/>
  <c r="C51" i="1"/>
  <c r="U47" i="1"/>
  <c r="Q47" i="1"/>
  <c r="P47" i="1"/>
  <c r="O47" i="1"/>
  <c r="N47" i="1"/>
  <c r="M47" i="1"/>
  <c r="L47" i="1"/>
  <c r="K47" i="1"/>
  <c r="J47" i="1"/>
  <c r="I47" i="1"/>
  <c r="H47" i="1"/>
  <c r="G47" i="1"/>
  <c r="F47" i="1"/>
  <c r="E47" i="1"/>
  <c r="D47" i="1"/>
  <c r="C47" i="1"/>
  <c r="V44" i="1"/>
  <c r="S42" i="1"/>
  <c r="Q42" i="1"/>
  <c r="P42" i="1"/>
  <c r="O42" i="1"/>
  <c r="N42" i="1"/>
  <c r="M42" i="1"/>
  <c r="L42" i="1"/>
  <c r="K42" i="1"/>
  <c r="J42" i="1"/>
  <c r="I42" i="1"/>
  <c r="H42" i="1"/>
  <c r="G42" i="1"/>
  <c r="F42" i="1"/>
  <c r="E42" i="1"/>
  <c r="D42" i="1"/>
  <c r="C42" i="1"/>
  <c r="W41" i="1"/>
  <c r="Q41" i="1"/>
  <c r="P41" i="1"/>
  <c r="O41" i="1"/>
  <c r="N41" i="1"/>
  <c r="M41" i="1"/>
  <c r="L41" i="1"/>
  <c r="K41" i="1"/>
  <c r="J41" i="1"/>
  <c r="I41" i="1"/>
  <c r="H41" i="1"/>
  <c r="G41" i="1"/>
  <c r="F41" i="1"/>
  <c r="E41" i="1"/>
  <c r="D41" i="1"/>
  <c r="C41" i="1"/>
  <c r="U38" i="1"/>
  <c r="T38" i="1"/>
  <c r="S38" i="1"/>
  <c r="Q38" i="1"/>
  <c r="P38" i="1"/>
  <c r="O38" i="1"/>
  <c r="N38" i="1"/>
  <c r="M38" i="1"/>
  <c r="L38" i="1"/>
  <c r="K38" i="1"/>
  <c r="J38" i="1"/>
  <c r="I38" i="1"/>
  <c r="H38" i="1"/>
  <c r="G38" i="1"/>
  <c r="F38" i="1"/>
  <c r="E38" i="1"/>
  <c r="D38" i="1"/>
  <c r="C38" i="1"/>
  <c r="V37" i="1"/>
  <c r="V38" i="1" s="1"/>
  <c r="U37" i="1"/>
  <c r="U53" i="6" s="1"/>
  <c r="U55" i="6" s="1"/>
  <c r="T37" i="1"/>
  <c r="T53" i="6" s="1"/>
  <c r="T55" i="6" s="1"/>
  <c r="S37" i="1"/>
  <c r="Q37" i="1"/>
  <c r="P37" i="1"/>
  <c r="O37" i="1"/>
  <c r="N37" i="1"/>
  <c r="M37" i="1"/>
  <c r="L37" i="1"/>
  <c r="K37" i="1"/>
  <c r="J37" i="1"/>
  <c r="I37" i="1"/>
  <c r="H37" i="1"/>
  <c r="G37" i="1"/>
  <c r="F37" i="1"/>
  <c r="E37" i="1"/>
  <c r="D37" i="1"/>
  <c r="C37" i="1"/>
  <c r="V36" i="1"/>
  <c r="U36" i="1"/>
  <c r="T36" i="1"/>
  <c r="S36" i="1"/>
  <c r="R36" i="1"/>
  <c r="V35" i="1"/>
  <c r="U35" i="1"/>
  <c r="T35" i="1"/>
  <c r="S35" i="1"/>
  <c r="R35" i="1"/>
  <c r="V34" i="1"/>
  <c r="U34" i="1"/>
  <c r="T34" i="1"/>
  <c r="S34" i="1"/>
  <c r="R34" i="1"/>
  <c r="V33" i="1"/>
  <c r="U33" i="1"/>
  <c r="T33" i="1"/>
  <c r="S33" i="1"/>
  <c r="R33" i="1"/>
  <c r="V32" i="1"/>
  <c r="U32" i="1"/>
  <c r="T32" i="1"/>
  <c r="S32" i="1"/>
  <c r="V31" i="1"/>
  <c r="U31" i="1"/>
  <c r="T31" i="1"/>
  <c r="S31" i="1"/>
  <c r="R31" i="1"/>
  <c r="V30" i="1"/>
  <c r="U30" i="1"/>
  <c r="T30" i="1"/>
  <c r="S30" i="1"/>
  <c r="V29" i="1"/>
  <c r="U29" i="1"/>
  <c r="T29" i="1"/>
  <c r="S29" i="1"/>
  <c r="R29" i="1"/>
  <c r="V28" i="1"/>
  <c r="U28" i="1"/>
  <c r="T28" i="1"/>
  <c r="S28" i="1"/>
  <c r="V27" i="1"/>
  <c r="U27" i="1"/>
  <c r="T27" i="1"/>
  <c r="S27" i="1"/>
  <c r="R27" i="1"/>
  <c r="V26" i="1"/>
  <c r="U26" i="1"/>
  <c r="T26" i="1"/>
  <c r="S26" i="1"/>
  <c r="R26" i="1"/>
  <c r="V25" i="1"/>
  <c r="U25" i="1"/>
  <c r="T25" i="1"/>
  <c r="S25" i="1"/>
  <c r="R25" i="1"/>
  <c r="V24" i="1"/>
  <c r="U24" i="1"/>
  <c r="T24" i="1"/>
  <c r="S24" i="1"/>
  <c r="V23" i="1"/>
  <c r="U23" i="1"/>
  <c r="T23" i="1"/>
  <c r="S23" i="1"/>
  <c r="V22" i="1"/>
  <c r="U22" i="1"/>
  <c r="T22" i="1"/>
  <c r="S22" i="1"/>
  <c r="W21" i="1"/>
  <c r="Q21" i="1"/>
  <c r="P21" i="1"/>
  <c r="O21" i="1"/>
  <c r="N21" i="1"/>
  <c r="M21" i="1"/>
  <c r="L21" i="1"/>
  <c r="K21" i="1"/>
  <c r="J21" i="1"/>
  <c r="I21" i="1"/>
  <c r="H21" i="1"/>
  <c r="G21" i="1"/>
  <c r="F21" i="1"/>
  <c r="E21" i="1"/>
  <c r="D21" i="1"/>
  <c r="C21" i="1"/>
  <c r="V17" i="1"/>
  <c r="U17" i="1"/>
  <c r="T17" i="1"/>
  <c r="S17" i="1"/>
  <c r="Q17" i="1"/>
  <c r="P17" i="1"/>
  <c r="O17" i="1"/>
  <c r="N17" i="1"/>
  <c r="M17" i="1"/>
  <c r="L17" i="1"/>
  <c r="K17" i="1"/>
  <c r="J17" i="1"/>
  <c r="I17" i="1"/>
  <c r="H17" i="1"/>
  <c r="G17" i="1"/>
  <c r="F17" i="1"/>
  <c r="E17" i="1"/>
  <c r="D17" i="1"/>
  <c r="C17" i="1"/>
  <c r="B17" i="1"/>
  <c r="V16" i="1"/>
  <c r="U16" i="1"/>
  <c r="T16" i="1"/>
  <c r="S16" i="1"/>
  <c r="Q16" i="1"/>
  <c r="P16" i="1"/>
  <c r="O16" i="1"/>
  <c r="N16" i="1"/>
  <c r="M16" i="1"/>
  <c r="L16" i="1"/>
  <c r="K16" i="1"/>
  <c r="J16" i="1"/>
  <c r="I16" i="1"/>
  <c r="H16" i="1"/>
  <c r="G16" i="1"/>
  <c r="F16" i="1"/>
  <c r="E16" i="1"/>
  <c r="D16" i="1"/>
  <c r="C16" i="1"/>
  <c r="B16" i="1"/>
  <c r="X15" i="1"/>
  <c r="W15" i="1"/>
  <c r="V15" i="1"/>
  <c r="U15" i="1"/>
  <c r="T15" i="1"/>
  <c r="S15" i="1"/>
  <c r="Q15" i="1"/>
  <c r="P15" i="1"/>
  <c r="O15" i="1"/>
  <c r="N15" i="1"/>
  <c r="M15" i="1"/>
  <c r="L15" i="1"/>
  <c r="K15" i="1"/>
  <c r="J15" i="1"/>
  <c r="I15" i="1"/>
  <c r="H15" i="1"/>
  <c r="G15" i="1"/>
  <c r="F15" i="1"/>
  <c r="E15" i="1"/>
  <c r="D15" i="1"/>
  <c r="C15" i="1"/>
  <c r="V13" i="1"/>
  <c r="U13" i="1"/>
  <c r="T13" i="1"/>
  <c r="S13" i="1"/>
  <c r="Q13" i="1"/>
  <c r="P13" i="1"/>
  <c r="O13" i="1"/>
  <c r="N13" i="1"/>
  <c r="M13" i="1"/>
  <c r="L13" i="1"/>
  <c r="K13" i="1"/>
  <c r="J13" i="1"/>
  <c r="I13" i="1"/>
  <c r="H13" i="1"/>
  <c r="G13" i="1"/>
  <c r="F13" i="1"/>
  <c r="E13" i="1"/>
  <c r="D13" i="1"/>
  <c r="C13" i="1"/>
  <c r="V12" i="1"/>
  <c r="U12" i="1"/>
  <c r="T12" i="1"/>
  <c r="S12" i="1"/>
  <c r="R16" i="1"/>
  <c r="H12" i="1"/>
  <c r="G12" i="1"/>
  <c r="F12" i="1"/>
  <c r="E12" i="1"/>
  <c r="D12" i="1"/>
  <c r="C12" i="1"/>
  <c r="V8" i="1"/>
  <c r="U8" i="1"/>
  <c r="T8" i="1"/>
  <c r="S8" i="1"/>
  <c r="V7" i="1"/>
  <c r="U7" i="1"/>
  <c r="T7" i="1"/>
  <c r="S7" i="1"/>
  <c r="H7" i="1"/>
  <c r="G7" i="1"/>
  <c r="F7" i="1"/>
  <c r="E7" i="1"/>
  <c r="D7" i="1"/>
  <c r="C7" i="1"/>
  <c r="W6" i="1"/>
  <c r="V6" i="1"/>
  <c r="U6" i="1"/>
  <c r="T6" i="1"/>
  <c r="S6" i="1"/>
  <c r="R6" i="1"/>
  <c r="Q6" i="1"/>
  <c r="P6" i="1"/>
  <c r="O6" i="1"/>
  <c r="N6" i="1"/>
  <c r="M6" i="1"/>
  <c r="L6" i="1"/>
  <c r="K6" i="1"/>
  <c r="J6" i="1"/>
  <c r="I6" i="1"/>
  <c r="H6" i="1"/>
  <c r="G6" i="1"/>
  <c r="F6" i="1"/>
  <c r="E6" i="1"/>
  <c r="D6" i="1"/>
  <c r="C6" i="1"/>
  <c r="A1" i="1"/>
  <c r="T25" i="4"/>
  <c r="Q28" i="4"/>
  <c r="Q29" i="4"/>
  <c r="U25" i="4"/>
  <c r="V25" i="4"/>
  <c r="R28" i="4"/>
  <c r="S28" i="4"/>
  <c r="T28" i="4"/>
  <c r="U28" i="4"/>
  <c r="V28" i="4"/>
  <c r="R29" i="4"/>
  <c r="S29" i="4"/>
  <c r="T29" i="4"/>
  <c r="U29" i="4"/>
  <c r="V29" i="4"/>
  <c r="V53" i="6" l="1"/>
  <c r="V55" i="6" s="1"/>
  <c r="V35" i="4"/>
  <c r="U35" i="4"/>
  <c r="V40" i="4" s="1"/>
  <c r="T35" i="4"/>
  <c r="T40" i="4"/>
  <c r="S40" i="4"/>
  <c r="V60" i="4"/>
  <c r="U60" i="4"/>
  <c r="V32" i="4"/>
  <c r="V57" i="4"/>
  <c r="V42" i="4"/>
  <c r="U42" i="4"/>
  <c r="U57" i="4"/>
  <c r="U32" i="4"/>
  <c r="T32" i="4"/>
  <c r="T57" i="4"/>
  <c r="T42" i="4"/>
  <c r="T60" i="4"/>
  <c r="S32" i="4"/>
  <c r="S57" i="4"/>
  <c r="S42" i="4"/>
  <c r="S60" i="4"/>
  <c r="R60" i="4"/>
  <c r="R57" i="4"/>
  <c r="R42" i="4"/>
  <c r="R32" i="4"/>
  <c r="Q60" i="4"/>
  <c r="Q57" i="4"/>
  <c r="Q42" i="4"/>
  <c r="Q45" i="4" s="1"/>
  <c r="Q32" i="4"/>
  <c r="Q33" i="4" s="1"/>
  <c r="R127" i="6"/>
  <c r="R138" i="6" s="1"/>
  <c r="X51" i="2"/>
  <c r="T47" i="1"/>
  <c r="S41" i="1"/>
  <c r="S51" i="1" s="1"/>
  <c r="S63" i="1" s="1"/>
  <c r="S7" i="4" s="1"/>
  <c r="V41" i="1"/>
  <c r="V51" i="1" s="1"/>
  <c r="V63" i="1" s="1"/>
  <c r="V7" i="4" s="1"/>
  <c r="U42" i="1"/>
  <c r="U41" i="1" s="1"/>
  <c r="U51" i="1" s="1"/>
  <c r="U52" i="1" s="1"/>
  <c r="T42" i="1"/>
  <c r="T41" i="1" s="1"/>
  <c r="T61" i="1" s="1"/>
  <c r="T74" i="1" s="1"/>
  <c r="X46" i="2"/>
  <c r="V88" i="6"/>
  <c r="U88" i="6"/>
  <c r="V47" i="2"/>
  <c r="T88" i="6"/>
  <c r="U47" i="2"/>
  <c r="T47" i="2"/>
  <c r="V33" i="2"/>
  <c r="U54" i="2"/>
  <c r="U33" i="2"/>
  <c r="R19" i="2"/>
  <c r="R8" i="3" s="1"/>
  <c r="R14" i="3" s="1"/>
  <c r="S19" i="2"/>
  <c r="S9" i="3" s="1"/>
  <c r="S14" i="3" s="1"/>
  <c r="V23" i="6"/>
  <c r="V54" i="2"/>
  <c r="V14" i="2"/>
  <c r="S23" i="6"/>
  <c r="S25" i="6" s="1"/>
  <c r="S28" i="6" s="1"/>
  <c r="S35" i="6" s="1"/>
  <c r="U23" i="6"/>
  <c r="T54" i="2"/>
  <c r="C61" i="4"/>
  <c r="C11" i="4"/>
  <c r="K61" i="4"/>
  <c r="K11" i="4"/>
  <c r="AD19" i="5"/>
  <c r="AD17" i="5"/>
  <c r="AD15" i="5"/>
  <c r="AD18" i="5"/>
  <c r="AD16" i="5"/>
  <c r="AL19" i="5"/>
  <c r="AL17" i="5"/>
  <c r="AL15" i="5"/>
  <c r="AL18" i="5"/>
  <c r="AL16" i="5"/>
  <c r="AM18" i="5"/>
  <c r="AM16" i="5"/>
  <c r="AM17" i="5"/>
  <c r="AM15" i="5"/>
  <c r="AM20" i="5" s="1"/>
  <c r="J61" i="4"/>
  <c r="J11" i="4"/>
  <c r="AC19" i="5"/>
  <c r="AC17" i="5"/>
  <c r="AC15" i="5"/>
  <c r="AC20" i="5" s="1"/>
  <c r="AC18" i="5"/>
  <c r="AC16" i="5"/>
  <c r="X17" i="5"/>
  <c r="X15" i="5"/>
  <c r="X18" i="5"/>
  <c r="X16" i="5"/>
  <c r="X19" i="5"/>
  <c r="AF17" i="5"/>
  <c r="AF18" i="5"/>
  <c r="AF16" i="5"/>
  <c r="AF15" i="5"/>
  <c r="AN19" i="5"/>
  <c r="AN18" i="5"/>
  <c r="AN16" i="5"/>
  <c r="AN15" i="5"/>
  <c r="AN17" i="5"/>
  <c r="AK19" i="5"/>
  <c r="AK17" i="5"/>
  <c r="AK15" i="5"/>
  <c r="AK18" i="5"/>
  <c r="AK16" i="5"/>
  <c r="Z18" i="5"/>
  <c r="Z16" i="5"/>
  <c r="Z19" i="5"/>
  <c r="Z17" i="5"/>
  <c r="Z15" i="5"/>
  <c r="Z20" i="5" s="1"/>
  <c r="AH18" i="5"/>
  <c r="AH16" i="5"/>
  <c r="AH19" i="5"/>
  <c r="AH17" i="5"/>
  <c r="AH15" i="5"/>
  <c r="AP18" i="5"/>
  <c r="AP16" i="5"/>
  <c r="AP19" i="5"/>
  <c r="AP17" i="5"/>
  <c r="AP15" i="5"/>
  <c r="AP20" i="5" s="1"/>
  <c r="H11" i="4"/>
  <c r="H61" i="4"/>
  <c r="P11" i="4"/>
  <c r="P61" i="4"/>
  <c r="I61" i="4"/>
  <c r="I11" i="4"/>
  <c r="I48" i="4"/>
  <c r="J48" i="4"/>
  <c r="Y15" i="5"/>
  <c r="Y20" i="5" s="1"/>
  <c r="AG15" i="5"/>
  <c r="AG20" i="5" s="1"/>
  <c r="AO15" i="5"/>
  <c r="AO20" i="5" s="1"/>
  <c r="Y17" i="5"/>
  <c r="AG17" i="5"/>
  <c r="AO17" i="5"/>
  <c r="AM19" i="5"/>
  <c r="AF19" i="5"/>
  <c r="G10" i="4"/>
  <c r="O10" i="4"/>
  <c r="D11" i="4"/>
  <c r="L11" i="4"/>
  <c r="C48" i="4"/>
  <c r="K48" i="4"/>
  <c r="E11" i="4"/>
  <c r="M11" i="4"/>
  <c r="AA15" i="5"/>
  <c r="AA20" i="5" s="1"/>
  <c r="AI15" i="5"/>
  <c r="AI20" i="5" s="1"/>
  <c r="AQ15" i="5"/>
  <c r="AQ20" i="5" s="1"/>
  <c r="AA17" i="5"/>
  <c r="AI17" i="5"/>
  <c r="AQ17" i="5"/>
  <c r="AE28" i="5"/>
  <c r="W9" i="4"/>
  <c r="Q10" i="4"/>
  <c r="F11" i="4"/>
  <c r="N11" i="4"/>
  <c r="AB15" i="5"/>
  <c r="AJ15" i="5"/>
  <c r="AJ20" i="5" s="1"/>
  <c r="AB17" i="5"/>
  <c r="AJ17" i="5"/>
  <c r="Q48" i="4"/>
  <c r="R13" i="2"/>
  <c r="R15" i="1"/>
  <c r="R17" i="1" s="1"/>
  <c r="R13" i="1"/>
  <c r="X6" i="1"/>
  <c r="R25" i="6"/>
  <c r="R28" i="6" s="1"/>
  <c r="V25" i="6"/>
  <c r="U25" i="6"/>
  <c r="U28" i="6" s="1"/>
  <c r="U42" i="6" s="1"/>
  <c r="U45" i="6" s="1"/>
  <c r="T25" i="6"/>
  <c r="T28" i="6" s="1"/>
  <c r="T35" i="6" s="1"/>
  <c r="S42" i="6"/>
  <c r="S45" i="6" s="1"/>
  <c r="U40" i="4" l="1"/>
  <c r="T34" i="2"/>
  <c r="S61" i="1"/>
  <c r="S74" i="1" s="1"/>
  <c r="U61" i="1"/>
  <c r="U34" i="2" s="1"/>
  <c r="T6" i="4"/>
  <c r="T51" i="4" s="1"/>
  <c r="V52" i="1"/>
  <c r="V61" i="1"/>
  <c r="T48" i="2"/>
  <c r="T53" i="2"/>
  <c r="T15" i="2"/>
  <c r="T51" i="1"/>
  <c r="S52" i="1"/>
  <c r="U63" i="1"/>
  <c r="T88" i="1"/>
  <c r="T89" i="1" s="1"/>
  <c r="S47" i="2"/>
  <c r="R93" i="6"/>
  <c r="R107" i="6" s="1"/>
  <c r="U9" i="4"/>
  <c r="U6" i="2"/>
  <c r="AO8" i="3"/>
  <c r="AP8" i="3"/>
  <c r="AN8" i="3"/>
  <c r="AQ8" i="3"/>
  <c r="AM8" i="3"/>
  <c r="X32" i="2"/>
  <c r="S32" i="2"/>
  <c r="S54" i="2" s="1"/>
  <c r="S6" i="2" s="1"/>
  <c r="AQ9" i="3"/>
  <c r="AP9" i="3"/>
  <c r="AO9" i="3"/>
  <c r="AN9" i="3"/>
  <c r="AN14" i="3" s="1"/>
  <c r="S21" i="4" s="1"/>
  <c r="S62" i="6"/>
  <c r="S76" i="6" s="1"/>
  <c r="R62" i="6"/>
  <c r="R76" i="6" s="1"/>
  <c r="V6" i="2"/>
  <c r="V9" i="4"/>
  <c r="V56" i="2"/>
  <c r="V57" i="2" s="1"/>
  <c r="T6" i="2"/>
  <c r="T9" i="4"/>
  <c r="T55" i="2"/>
  <c r="U56" i="2"/>
  <c r="U57" i="2" s="1"/>
  <c r="Q11" i="4"/>
  <c r="Q61" i="4"/>
  <c r="X20" i="5"/>
  <c r="AK20" i="5"/>
  <c r="AE18" i="5"/>
  <c r="AE16" i="5"/>
  <c r="AE17" i="5"/>
  <c r="AE15" i="5"/>
  <c r="AL20" i="5"/>
  <c r="G11" i="4"/>
  <c r="G61" i="4"/>
  <c r="AF20" i="5"/>
  <c r="AH20" i="5"/>
  <c r="AB20" i="5"/>
  <c r="AN20" i="5"/>
  <c r="AE19" i="5"/>
  <c r="AD20" i="5"/>
  <c r="O11" i="4"/>
  <c r="O61" i="4"/>
  <c r="R57" i="1"/>
  <c r="R24" i="1"/>
  <c r="R22" i="1"/>
  <c r="R23" i="1"/>
  <c r="S14" i="2"/>
  <c r="X13" i="2"/>
  <c r="R30" i="6"/>
  <c r="R43" i="6" s="1"/>
  <c r="R42" i="6"/>
  <c r="U35" i="6"/>
  <c r="T42" i="6"/>
  <c r="T45" i="6" s="1"/>
  <c r="U46" i="6" s="1"/>
  <c r="V28" i="6"/>
  <c r="V42" i="6" s="1"/>
  <c r="V31" i="6"/>
  <c r="U67" i="1" l="1"/>
  <c r="U68" i="1" s="1"/>
  <c r="T67" i="1"/>
  <c r="T68" i="1" s="1"/>
  <c r="S53" i="2"/>
  <c r="S48" i="2"/>
  <c r="S15" i="2"/>
  <c r="S6" i="4"/>
  <c r="S51" i="4" s="1"/>
  <c r="T14" i="4"/>
  <c r="S65" i="1"/>
  <c r="T55" i="4"/>
  <c r="U74" i="1"/>
  <c r="U48" i="2"/>
  <c r="U55" i="2"/>
  <c r="U53" i="2"/>
  <c r="U15" i="2"/>
  <c r="T54" i="4"/>
  <c r="U6" i="4"/>
  <c r="U55" i="4" s="1"/>
  <c r="V15" i="2"/>
  <c r="V48" i="2"/>
  <c r="V34" i="2"/>
  <c r="V6" i="4"/>
  <c r="V8" i="4" s="1"/>
  <c r="V55" i="2"/>
  <c r="X61" i="1"/>
  <c r="X6" i="4" s="1"/>
  <c r="X12" i="5" s="1"/>
  <c r="V53" i="2"/>
  <c r="V65" i="1"/>
  <c r="V67" i="1"/>
  <c r="V68" i="1" s="1"/>
  <c r="V74" i="1"/>
  <c r="V88" i="1" s="1"/>
  <c r="T63" i="1"/>
  <c r="U70" i="1" s="1"/>
  <c r="U71" i="1" s="1"/>
  <c r="T52" i="1"/>
  <c r="U65" i="1"/>
  <c r="V70" i="1"/>
  <c r="V71" i="1" s="1"/>
  <c r="U7" i="4"/>
  <c r="S88" i="1"/>
  <c r="T90" i="1" s="1"/>
  <c r="T91" i="1" s="1"/>
  <c r="AM14" i="3"/>
  <c r="AQ14" i="3"/>
  <c r="S55" i="2"/>
  <c r="T33" i="2"/>
  <c r="T56" i="2"/>
  <c r="T57" i="2" s="1"/>
  <c r="R54" i="2"/>
  <c r="R56" i="2" s="1"/>
  <c r="R57" i="2" s="1"/>
  <c r="S34" i="2"/>
  <c r="AP14" i="3"/>
  <c r="S9" i="4"/>
  <c r="S10" i="4" s="1"/>
  <c r="S33" i="2"/>
  <c r="AO14" i="3"/>
  <c r="R21" i="4"/>
  <c r="T48" i="4"/>
  <c r="V10" i="4"/>
  <c r="X9" i="4"/>
  <c r="S23" i="4"/>
  <c r="AE20" i="5"/>
  <c r="R35" i="6"/>
  <c r="R45" i="6"/>
  <c r="S46" i="6" s="1"/>
  <c r="R58" i="1"/>
  <c r="R47" i="1"/>
  <c r="R42" i="1"/>
  <c r="T46" i="6"/>
  <c r="R32" i="6"/>
  <c r="R33" i="6" s="1"/>
  <c r="V35" i="6"/>
  <c r="R36" i="6" s="1"/>
  <c r="Y36" i="5" s="1"/>
  <c r="V44" i="6"/>
  <c r="V45" i="6" s="1"/>
  <c r="V46" i="6" s="1"/>
  <c r="R38" i="4"/>
  <c r="S38" i="4" s="1"/>
  <c r="T38" i="4"/>
  <c r="U38" i="4" s="1"/>
  <c r="V38" i="4" s="1"/>
  <c r="T21" i="4"/>
  <c r="U21" i="4"/>
  <c r="V21" i="4"/>
  <c r="S8" i="4" l="1"/>
  <c r="S14" i="4"/>
  <c r="T47" i="4"/>
  <c r="S54" i="4"/>
  <c r="S55" i="4"/>
  <c r="U54" i="4"/>
  <c r="U14" i="4"/>
  <c r="U48" i="4"/>
  <c r="U47" i="4"/>
  <c r="U51" i="4"/>
  <c r="U88" i="1"/>
  <c r="U90" i="1" s="1"/>
  <c r="U91" i="1" s="1"/>
  <c r="V47" i="4"/>
  <c r="V54" i="4"/>
  <c r="V89" i="1"/>
  <c r="V48" i="4"/>
  <c r="V14" i="4"/>
  <c r="V55" i="4"/>
  <c r="X74" i="1"/>
  <c r="V51" i="4"/>
  <c r="T65" i="1"/>
  <c r="T70" i="1"/>
  <c r="T71" i="1" s="1"/>
  <c r="T7" i="4"/>
  <c r="S89" i="1"/>
  <c r="U8" i="4"/>
  <c r="U10" i="4"/>
  <c r="X88" i="1"/>
  <c r="T92" i="1"/>
  <c r="S56" i="2"/>
  <c r="S57" i="2" s="1"/>
  <c r="R6" i="2"/>
  <c r="R9" i="4"/>
  <c r="S48" i="4"/>
  <c r="V23" i="4"/>
  <c r="V59" i="4" s="1"/>
  <c r="V39" i="4"/>
  <c r="V41" i="4" s="1"/>
  <c r="V45" i="4" s="1"/>
  <c r="U23" i="4"/>
  <c r="U59" i="4" s="1"/>
  <c r="T39" i="4"/>
  <c r="T41" i="4" s="1"/>
  <c r="T45" i="4" s="1"/>
  <c r="T23" i="4"/>
  <c r="T33" i="4" s="1"/>
  <c r="U39" i="4"/>
  <c r="U41" i="4" s="1"/>
  <c r="U45" i="4" s="1"/>
  <c r="R23" i="4"/>
  <c r="R39" i="4"/>
  <c r="R41" i="4" s="1"/>
  <c r="R45" i="4" s="1"/>
  <c r="S39" i="4"/>
  <c r="S41" i="4" s="1"/>
  <c r="S45" i="4" s="1"/>
  <c r="R48" i="6"/>
  <c r="AA36" i="5" s="1"/>
  <c r="S61" i="4"/>
  <c r="S11" i="4"/>
  <c r="V61" i="4"/>
  <c r="V11" i="4"/>
  <c r="S33" i="4"/>
  <c r="S59" i="4"/>
  <c r="R46" i="6"/>
  <c r="R51" i="1"/>
  <c r="X85" i="6" s="1"/>
  <c r="X21" i="1"/>
  <c r="T49" i="6"/>
  <c r="R38" i="6"/>
  <c r="Z36" i="5" s="1"/>
  <c r="X36" i="5"/>
  <c r="V90" i="1" l="1"/>
  <c r="V91" i="1" s="1"/>
  <c r="U89" i="1"/>
  <c r="U92" i="1"/>
  <c r="T8" i="4"/>
  <c r="T10" i="4"/>
  <c r="U11" i="4"/>
  <c r="U61" i="4"/>
  <c r="R85" i="6"/>
  <c r="V85" i="6"/>
  <c r="U85" i="6"/>
  <c r="T85" i="6"/>
  <c r="S85" i="6"/>
  <c r="T59" i="4"/>
  <c r="U33" i="4"/>
  <c r="R33" i="4"/>
  <c r="R59" i="4"/>
  <c r="V33" i="4"/>
  <c r="R53" i="6"/>
  <c r="X53" i="6"/>
  <c r="R52" i="1"/>
  <c r="R38" i="1"/>
  <c r="X41" i="1"/>
  <c r="R61" i="1"/>
  <c r="V92" i="1" l="1"/>
  <c r="T11" i="4"/>
  <c r="T61" i="4"/>
  <c r="R55" i="6"/>
  <c r="U57" i="6"/>
  <c r="U58" i="6" s="1"/>
  <c r="U60" i="6" s="1"/>
  <c r="T57" i="6"/>
  <c r="T58" i="6" s="1"/>
  <c r="T60" i="6" s="1"/>
  <c r="S57" i="6"/>
  <c r="S58" i="6" s="1"/>
  <c r="S60" i="6" s="1"/>
  <c r="R57" i="6"/>
  <c r="V57" i="6"/>
  <c r="V58" i="6" s="1"/>
  <c r="S67" i="1"/>
  <c r="R74" i="1"/>
  <c r="R67" i="1"/>
  <c r="R48" i="2"/>
  <c r="R34" i="2"/>
  <c r="R6" i="4"/>
  <c r="R53" i="2"/>
  <c r="R15" i="2"/>
  <c r="R55" i="2"/>
  <c r="R63" i="1"/>
  <c r="R58" i="6" l="1"/>
  <c r="R60" i="6" s="1"/>
  <c r="R75" i="6" s="1"/>
  <c r="R78" i="6" s="1"/>
  <c r="R79" i="6" s="1"/>
  <c r="R68" i="1"/>
  <c r="T120" i="6"/>
  <c r="T121" i="6" s="1"/>
  <c r="T123" i="6" s="1"/>
  <c r="S89" i="6"/>
  <c r="S120" i="6"/>
  <c r="S121" i="6" s="1"/>
  <c r="S123" i="6" s="1"/>
  <c r="R89" i="6"/>
  <c r="R120" i="6"/>
  <c r="R121" i="6" s="1"/>
  <c r="R123" i="6" s="1"/>
  <c r="V120" i="6"/>
  <c r="V121" i="6" s="1"/>
  <c r="U89" i="6"/>
  <c r="V89" i="6"/>
  <c r="U120" i="6"/>
  <c r="U121" i="6" s="1"/>
  <c r="U123" i="6" s="1"/>
  <c r="T89" i="6"/>
  <c r="R88" i="1"/>
  <c r="S68" i="1"/>
  <c r="V60" i="6"/>
  <c r="V63" i="6"/>
  <c r="T75" i="6"/>
  <c r="T78" i="6" s="1"/>
  <c r="T68" i="6"/>
  <c r="R7" i="4"/>
  <c r="S70" i="1"/>
  <c r="S71" i="1" s="1"/>
  <c r="R70" i="1"/>
  <c r="R71" i="1" s="1"/>
  <c r="R65" i="1"/>
  <c r="R54" i="4"/>
  <c r="R55" i="4"/>
  <c r="S47" i="4"/>
  <c r="R14" i="4"/>
  <c r="R51" i="4"/>
  <c r="R47" i="4"/>
  <c r="R48" i="4"/>
  <c r="S75" i="6"/>
  <c r="S78" i="6" s="1"/>
  <c r="S68" i="6"/>
  <c r="U68" i="6"/>
  <c r="U75" i="6"/>
  <c r="U78" i="6" s="1"/>
  <c r="R68" i="6" l="1"/>
  <c r="S79" i="6"/>
  <c r="T79" i="6" s="1"/>
  <c r="U79" i="6" s="1"/>
  <c r="U137" i="6"/>
  <c r="U140" i="6" s="1"/>
  <c r="U130" i="6"/>
  <c r="R137" i="6"/>
  <c r="R140" i="6" s="1"/>
  <c r="R130" i="6"/>
  <c r="R126" i="6"/>
  <c r="V77" i="6"/>
  <c r="R64" i="6"/>
  <c r="R66" i="6" s="1"/>
  <c r="R87" i="6"/>
  <c r="R90" i="6" s="1"/>
  <c r="R92" i="6" s="1"/>
  <c r="V87" i="6"/>
  <c r="V90" i="6" s="1"/>
  <c r="T87" i="6"/>
  <c r="T90" i="6" s="1"/>
  <c r="T92" i="6" s="1"/>
  <c r="U87" i="6"/>
  <c r="U90" i="6" s="1"/>
  <c r="U92" i="6" s="1"/>
  <c r="S137" i="6"/>
  <c r="S140" i="6" s="1"/>
  <c r="S130" i="6"/>
  <c r="S90" i="1"/>
  <c r="R90" i="1"/>
  <c r="R10" i="4"/>
  <c r="R8" i="4"/>
  <c r="V75" i="6"/>
  <c r="V68" i="6"/>
  <c r="V125" i="6"/>
  <c r="V139" i="6" s="1"/>
  <c r="V123" i="6"/>
  <c r="R89" i="1"/>
  <c r="S87" i="6"/>
  <c r="S90" i="6" s="1"/>
  <c r="S92" i="6" s="1"/>
  <c r="T137" i="6"/>
  <c r="T140" i="6" s="1"/>
  <c r="T130" i="6"/>
  <c r="R69" i="6" l="1"/>
  <c r="Y37" i="5" s="1"/>
  <c r="V78" i="6"/>
  <c r="V79" i="6" s="1"/>
  <c r="R81" i="6" s="1"/>
  <c r="V94" i="6"/>
  <c r="V92" i="6"/>
  <c r="V106" i="6" s="1"/>
  <c r="R106" i="6"/>
  <c r="R109" i="6" s="1"/>
  <c r="R98" i="6"/>
  <c r="U106" i="6"/>
  <c r="U109" i="6" s="1"/>
  <c r="U98" i="6"/>
  <c r="U141" i="6"/>
  <c r="X37" i="5"/>
  <c r="R71" i="6"/>
  <c r="Z37" i="5" s="1"/>
  <c r="R91" i="1"/>
  <c r="R92" i="1"/>
  <c r="R129" i="6"/>
  <c r="R61" i="4"/>
  <c r="R11" i="4"/>
  <c r="S91" i="1"/>
  <c r="S92" i="1"/>
  <c r="S141" i="6"/>
  <c r="R141" i="6"/>
  <c r="S106" i="6"/>
  <c r="S109" i="6" s="1"/>
  <c r="S98" i="6"/>
  <c r="T106" i="6"/>
  <c r="T109" i="6" s="1"/>
  <c r="T98" i="6"/>
  <c r="V137" i="6"/>
  <c r="V140" i="6" s="1"/>
  <c r="V141" i="6" s="1"/>
  <c r="V130" i="6"/>
  <c r="R131" i="6" s="1"/>
  <c r="Y39" i="5" s="1"/>
  <c r="T141" i="6"/>
  <c r="U110" i="6" l="1"/>
  <c r="R143" i="6"/>
  <c r="AA39" i="5" s="1"/>
  <c r="S82" i="6"/>
  <c r="U82" i="6" s="1"/>
  <c r="AA37" i="5"/>
  <c r="T110" i="6"/>
  <c r="R133" i="6"/>
  <c r="Z39" i="5" s="1"/>
  <c r="X39" i="5"/>
  <c r="S110" i="6"/>
  <c r="R112" i="6" s="1"/>
  <c r="R110" i="6"/>
  <c r="R95" i="6"/>
  <c r="R97" i="6" s="1"/>
  <c r="V98" i="6"/>
  <c r="R100" i="6" s="1"/>
  <c r="Y38" i="5" s="1"/>
  <c r="V108" i="6"/>
  <c r="V109" i="6" s="1"/>
  <c r="V110" i="6" s="1"/>
  <c r="S144" i="6" l="1"/>
  <c r="T144" i="6" s="1"/>
  <c r="X38" i="5"/>
  <c r="R102" i="6"/>
  <c r="Z38" i="5" s="1"/>
  <c r="T82" i="6"/>
  <c r="AA38" i="5" l="1"/>
  <c r="S113" i="6"/>
  <c r="T113"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<sst xmlns="http://schemas.openxmlformats.org/spreadsheetml/2006/main" count="638" uniqueCount="286">
  <si>
    <t>Revenue and Margins</t>
  </si>
  <si>
    <t>CY</t>
  </si>
  <si>
    <t>History</t>
  </si>
  <si>
    <t>Projection</t>
  </si>
  <si>
    <t>Hotel CA</t>
  </si>
  <si>
    <t>Other segments CA</t>
  </si>
  <si>
    <t>Other segments Result</t>
  </si>
  <si>
    <t>Hotel Result</t>
  </si>
  <si>
    <t>Total CA</t>
  </si>
  <si>
    <t>%</t>
  </si>
  <si>
    <t>Revenue Growth Y/Y (MAD)</t>
  </si>
  <si>
    <t>Revenue Growth Y/Y %</t>
  </si>
  <si>
    <t>Market Size and Share</t>
  </si>
  <si>
    <t>This Company</t>
  </si>
  <si>
    <t>Total Market</t>
  </si>
  <si>
    <t>Market Share</t>
  </si>
  <si>
    <t>Market Growth</t>
  </si>
  <si>
    <t>Market Growth Rate</t>
  </si>
  <si>
    <t>Our Share of Market Growth</t>
  </si>
  <si>
    <t>-</t>
  </si>
  <si>
    <t>Net Income Growth Y/Y (MAD)</t>
  </si>
  <si>
    <t>Net Income Growth Y/Y %</t>
  </si>
  <si>
    <t>CAGR</t>
  </si>
  <si>
    <t>Future</t>
  </si>
  <si>
    <t>Assumptions/Notes</t>
  </si>
  <si>
    <t>Competitor 1: ADDOHA</t>
  </si>
  <si>
    <t>Competitor 2: Alliances Darna</t>
  </si>
  <si>
    <t>Competitor 3: Alliances Developpement immobilier</t>
  </si>
  <si>
    <t>Competitor 4: ARADEI CAPITAL</t>
  </si>
  <si>
    <t>Competitor 5: CGI</t>
  </si>
  <si>
    <t>Competitor 6: DYAR AL MANSOUR</t>
  </si>
  <si>
    <t>Competitor 7: Holding Al Omrane</t>
  </si>
  <si>
    <t>Competitor 8: IMMOLOG</t>
  </si>
  <si>
    <t>Competitor 9: IMMORENTE INVEST</t>
  </si>
  <si>
    <t>Competitor 10: Résidences Dar Saada (RDS)</t>
  </si>
  <si>
    <t>Competitor 11: RISMA</t>
  </si>
  <si>
    <t>The company is no more listed since 2015</t>
  </si>
  <si>
    <t>Opening Strategy</t>
  </si>
  <si>
    <t>Expansion Strategy</t>
  </si>
  <si>
    <t>Green BALIMA Strategy</t>
  </si>
  <si>
    <t>Marketing Strategy</t>
  </si>
  <si>
    <t>Company Overview</t>
  </si>
  <si>
    <t>Food &amp; Beverage</t>
  </si>
  <si>
    <t>Event Hosting Revenue</t>
  </si>
  <si>
    <t>Baseline Estimates and Forecast</t>
  </si>
  <si>
    <t>Eco-Conscious Traveler Revenue</t>
  </si>
  <si>
    <t xml:space="preserve"> reopenning in 2025 after closing in 2015</t>
  </si>
  <si>
    <t>18.4% of company revenues;</t>
  </si>
  <si>
    <t xml:space="preserve"> 20-30% higher room rates due to Radisson’s luxury branding.</t>
  </si>
  <si>
    <t>15-25% due to Radisson’s culinary standards and global menu
integration.</t>
  </si>
  <si>
    <t xml:space="preserve"> 20-40% due to Radisson’s ability to attract high-profile corporate
events and weddings.</t>
  </si>
  <si>
    <t>10-15% occupancy growth from sustainable tourism efforts</t>
  </si>
  <si>
    <t>Expansion CA</t>
  </si>
  <si>
    <t>Revenue Growth From Market Knowledge/Research</t>
  </si>
  <si>
    <t>Property Acquisition/Leasing Revenue</t>
  </si>
  <si>
    <t>Property Renovation and Furnishing Revenue</t>
  </si>
  <si>
    <t>Staffing and Training Revenue</t>
  </si>
  <si>
    <t>Technology Investment Revenue</t>
  </si>
  <si>
    <t>Sustainability practices Revenue</t>
  </si>
  <si>
    <t>Expansion Result</t>
  </si>
  <si>
    <t xml:space="preserve">Marketing Revenue </t>
  </si>
  <si>
    <t>Modern Appartments</t>
  </si>
  <si>
    <t>Villas</t>
  </si>
  <si>
    <t>Luxury Properties</t>
  </si>
  <si>
    <t>10 appartments of 100 m² at 20000/m², with a yield of 10% aanually. Prices increasing by 12.5% annually</t>
  </si>
  <si>
    <t>Marrakech Expansion Revenue</t>
  </si>
  <si>
    <t>Casablanca Expansion Revenue</t>
  </si>
  <si>
    <t>Water Dispensers Installation Revenue</t>
  </si>
  <si>
    <t>Energy-Efficient Lighting (LED) Revenue</t>
  </si>
  <si>
    <t>Waste Segregation and Recycling Program Revenue</t>
  </si>
  <si>
    <t>Staff Training on Sustainability Practices Revenue</t>
  </si>
  <si>
    <t>Sustainability Revenue</t>
  </si>
  <si>
    <t>Sustainability Result</t>
  </si>
  <si>
    <t>Short-Term Actions</t>
  </si>
  <si>
    <t>Long-Term Actions</t>
  </si>
  <si>
    <t>Solar Panel Installation Revenue</t>
  </si>
  <si>
    <t>Greywater Recycling System Revenue</t>
  </si>
  <si>
    <t>Green Building Certifications (e.g., LEED) Revenue</t>
  </si>
  <si>
    <t>10-15% increase in hotel revenue</t>
  </si>
  <si>
    <t xml:space="preserve">10-15% in profit growth </t>
  </si>
  <si>
    <t>5-10% profit increase</t>
  </si>
  <si>
    <t>15-20% profit increase</t>
  </si>
  <si>
    <t>10-15% profit increase</t>
  </si>
  <si>
    <t>10-15% occupancy increase</t>
  </si>
  <si>
    <t>Marketing Revenue</t>
  </si>
  <si>
    <t>Marketing Result</t>
  </si>
  <si>
    <t>Website Revanping With Online Booking andAI  Chatbot</t>
  </si>
  <si>
    <t>15-30% increase in reveue</t>
  </si>
  <si>
    <t>Total CA History/Baseline Forecast</t>
  </si>
  <si>
    <t>Result History/Baseline Forecast</t>
  </si>
  <si>
    <t>LTP</t>
  </si>
  <si>
    <t>Operating Expenses</t>
  </si>
  <si>
    <t>Initial Renovation and Upgrades</t>
  </si>
  <si>
    <t>Training and Transition</t>
  </si>
  <si>
    <t>Total OS</t>
  </si>
  <si>
    <t xml:space="preserve">   Y/Y Growth (MAD)</t>
  </si>
  <si>
    <t xml:space="preserve">   % of Sales</t>
  </si>
  <si>
    <t xml:space="preserve">     Room Refurbishements</t>
  </si>
  <si>
    <t xml:space="preserve">     Lobby and Public Spaces</t>
  </si>
  <si>
    <t>1-3 millions</t>
  </si>
  <si>
    <t>10-30 thousand per room</t>
  </si>
  <si>
    <t>500000-1000000</t>
  </si>
  <si>
    <t>10-15% of gross revenues</t>
  </si>
  <si>
    <t xml:space="preserve">Management Fees </t>
  </si>
  <si>
    <t>100000 -200000</t>
  </si>
  <si>
    <t>Market Knowledge/Research Cost</t>
  </si>
  <si>
    <t>Property Renovation and Furnishing Cost</t>
  </si>
  <si>
    <t>Marrakech Property Acquisition/Leasing Cost</t>
  </si>
  <si>
    <t>Casablanca Property Acquisition/Leasing Cost</t>
  </si>
  <si>
    <t>Property Acquisition/Leasing  Cost</t>
  </si>
  <si>
    <t xml:space="preserve">Marketing Cost </t>
  </si>
  <si>
    <t>Staffing and Training Cost</t>
  </si>
  <si>
    <t>Technology Investment Cost</t>
  </si>
  <si>
    <t>Sustainability practices Cost</t>
  </si>
  <si>
    <t>Total ES</t>
  </si>
  <si>
    <t>50000-150000</t>
  </si>
  <si>
    <t>2000000-5000000</t>
  </si>
  <si>
    <t>100000-300000</t>
  </si>
  <si>
    <t>30000-100000</t>
  </si>
  <si>
    <t>10000-50000</t>
  </si>
  <si>
    <t>Total GBS</t>
  </si>
  <si>
    <t>Water Dispensers Installation Cost</t>
  </si>
  <si>
    <t>Energy-Efficient Lighting (LED) Cost</t>
  </si>
  <si>
    <t>Waste Segregation and Recycling Program Cost</t>
  </si>
  <si>
    <t>Staff Training on Sustainability Practices Cost</t>
  </si>
  <si>
    <t>Solar Panel Installation Cost</t>
  </si>
  <si>
    <t>Greywater Recycling System Cost</t>
  </si>
  <si>
    <t>Green Building Certifications (e.g., LEED) Cost</t>
  </si>
  <si>
    <t>10000-30000</t>
  </si>
  <si>
    <t>2000-5000</t>
  </si>
  <si>
    <t>5000-10000</t>
  </si>
  <si>
    <t>3000-10000</t>
  </si>
  <si>
    <t>100000-250000</t>
  </si>
  <si>
    <t>Sustainable Sourcing of Food and Supplies Cost?</t>
  </si>
  <si>
    <t>100000-200000</t>
  </si>
  <si>
    <t>Total Operating Expenses</t>
  </si>
  <si>
    <t xml:space="preserve">   Y/Y Growth ($M)</t>
  </si>
  <si>
    <t xml:space="preserve">   Y/Y Growth %</t>
  </si>
  <si>
    <t>Total MS</t>
  </si>
  <si>
    <t>Property, Plant &amp; Equipment</t>
  </si>
  <si>
    <t>Capital Requirements</t>
  </si>
  <si>
    <t>Capital Expenditures</t>
  </si>
  <si>
    <t xml:space="preserve">  Capital Expenditures</t>
  </si>
  <si>
    <t>Prior</t>
  </si>
  <si>
    <t>Plant Expansion-Growth</t>
  </si>
  <si>
    <t>Plant Expansion-Growth, Sustainability Equipments (Solar panels, Water dispensers, Grey Water Recycing)</t>
  </si>
  <si>
    <t>Total Capital Expenditures</t>
  </si>
  <si>
    <t>Depreciation Expense*</t>
  </si>
  <si>
    <t>Base Operating Expenses</t>
  </si>
  <si>
    <t>4 villas of 200 m² at 15000/m², with a yield of 12% aanually. Prices increasing by 12.5% annually</t>
  </si>
  <si>
    <t>4 villas of 250 m² at 20000/m², with a yield of 15% aanually. Prices increasing by 12.5% annually</t>
  </si>
  <si>
    <t>4 appartments of 100 m² at 9338/m², with a yield of 10% aanually. Prices increasing by 0.2% annually</t>
  </si>
  <si>
    <t>4 villas of 200 m² at 12510/m², with a yield of 5% aanually. Prices increasing by 0.2% annually</t>
  </si>
  <si>
    <t>4  villas of 250 m² at 15000/m², with a yield of 5% anually. Prices increasing by 0.2% annually</t>
  </si>
  <si>
    <t>Plant Expension(20 years)</t>
  </si>
  <si>
    <t>* Asumes 5 year Staright Line Depreciation, except for</t>
  </si>
  <si>
    <t>Capsule Financial Summary</t>
  </si>
  <si>
    <t>Income Statement</t>
  </si>
  <si>
    <t xml:space="preserve">  Sales</t>
  </si>
  <si>
    <t xml:space="preserve">       %</t>
  </si>
  <si>
    <t xml:space="preserve">  Operating Expenses</t>
  </si>
  <si>
    <t xml:space="preserve">  Income from Operations</t>
  </si>
  <si>
    <t xml:space="preserve">     %</t>
  </si>
  <si>
    <t xml:space="preserve">  Profit Before Taxes</t>
  </si>
  <si>
    <t xml:space="preserve">  Net Income</t>
  </si>
  <si>
    <t>Balance Sheet</t>
  </si>
  <si>
    <t xml:space="preserve">   Total Assets</t>
  </si>
  <si>
    <t xml:space="preserve">     Total Liabilities and Equity</t>
  </si>
  <si>
    <t>Proof</t>
  </si>
  <si>
    <t>Operating Capital</t>
  </si>
  <si>
    <t>Cash Flow</t>
  </si>
  <si>
    <t xml:space="preserve">   Net Income</t>
  </si>
  <si>
    <t xml:space="preserve">   Add: D&amp;A</t>
  </si>
  <si>
    <t xml:space="preserve">  (Increase) Decrease in Operating Capital</t>
  </si>
  <si>
    <t xml:space="preserve">    Operating Cash Flow</t>
  </si>
  <si>
    <t>Debt Borrowings (Payments)</t>
  </si>
  <si>
    <t>Dividends</t>
  </si>
  <si>
    <t xml:space="preserve">    Cash Flow</t>
  </si>
  <si>
    <t>Key Metrics</t>
  </si>
  <si>
    <t xml:space="preserve">   Y/Y Revenue Growth</t>
  </si>
  <si>
    <t xml:space="preserve">   Operating Expense % of Sales</t>
  </si>
  <si>
    <t xml:space="preserve">   Tax Rate</t>
  </si>
  <si>
    <t xml:space="preserve">   Days Sales Outstanding</t>
  </si>
  <si>
    <t xml:space="preserve">   Days Sales Inventory</t>
  </si>
  <si>
    <t xml:space="preserve">  Accounts Payable % Sales</t>
  </si>
  <si>
    <t xml:space="preserve">  Accrued Expenses % Sales</t>
  </si>
  <si>
    <t>Debt to Total Capital</t>
  </si>
  <si>
    <t xml:space="preserve">  Return on Assets</t>
  </si>
  <si>
    <t xml:space="preserve">  Return on Equity</t>
  </si>
  <si>
    <t xml:space="preserve">  Return on Invested Capital</t>
  </si>
  <si>
    <t xml:space="preserve">Result </t>
  </si>
  <si>
    <t>7.3% of company net income</t>
  </si>
  <si>
    <t xml:space="preserve">   Inventory(Stock)</t>
  </si>
  <si>
    <t xml:space="preserve">   Property &amp; Equipment(Immobilisations corporelles)</t>
  </si>
  <si>
    <t xml:space="preserve">   Cash (Tresorerie active)</t>
  </si>
  <si>
    <t xml:space="preserve">   Other(Immobilisations en non valeurs, Immobilisations incorporelles,titres et valeurs de placement, ecarts de conversion actif)</t>
  </si>
  <si>
    <t xml:space="preserve">  Accounts Payable (Dette du passif circulant)</t>
  </si>
  <si>
    <t xml:space="preserve">  Accrued Liabilites (Prov. Durables/risques et charges)</t>
  </si>
  <si>
    <t xml:space="preserve">  Long Term Debt (Dette de financement)</t>
  </si>
  <si>
    <t xml:space="preserve">  Retained Earnings(Report a nouveau)</t>
  </si>
  <si>
    <t xml:space="preserve">  Capital (Capitaux propres+capitaux propres assimiles)</t>
  </si>
  <si>
    <t>Passive Cash Flow</t>
  </si>
  <si>
    <t>Proof1</t>
  </si>
  <si>
    <t xml:space="preserve">   Receivables(Creances de l'actif circulant)</t>
  </si>
  <si>
    <t>Financial assets(Immobilisations financieres)</t>
  </si>
  <si>
    <t>Other(Autres Prov. Durables/risques et charges)</t>
  </si>
  <si>
    <t>Historical CAGR</t>
  </si>
  <si>
    <t>Projected Cagr</t>
  </si>
  <si>
    <t>COGS</t>
  </si>
  <si>
    <t>Expansion</t>
  </si>
  <si>
    <t>Green Balima</t>
  </si>
  <si>
    <t>% of Sales</t>
  </si>
  <si>
    <t>Opening</t>
  </si>
  <si>
    <t>Marketing</t>
  </si>
  <si>
    <t>Strategies Costs</t>
  </si>
  <si>
    <t>Market</t>
  </si>
  <si>
    <t>Sales</t>
  </si>
  <si>
    <t>Operating Income</t>
  </si>
  <si>
    <t>OI %</t>
  </si>
  <si>
    <t xml:space="preserve"> Y/Y  Growth</t>
  </si>
  <si>
    <t>Periods</t>
  </si>
  <si>
    <t>Room Revenue Growth</t>
  </si>
  <si>
    <t>Lobby and Public Spaces</t>
  </si>
  <si>
    <t>Room Refurbishements</t>
  </si>
  <si>
    <t>BALIMA Income Statement</t>
  </si>
  <si>
    <t>Resultat d'exploitation</t>
  </si>
  <si>
    <t>Dotation aux Amortissements</t>
  </si>
  <si>
    <t>Variation du BFRE</t>
  </si>
  <si>
    <t>IS(30%)</t>
  </si>
  <si>
    <t>Investissements(Emplois stables)</t>
  </si>
  <si>
    <t>BALIMA Income Statement Growth</t>
  </si>
  <si>
    <t>BALIMA Hotel Opening Strategy</t>
  </si>
  <si>
    <t>Flux de tresorerie nets</t>
  </si>
  <si>
    <t>KCP</t>
  </si>
  <si>
    <t>Kdebt (Assumption)</t>
  </si>
  <si>
    <t>WACC</t>
  </si>
  <si>
    <t>Part of CP</t>
  </si>
  <si>
    <t>Part of Debt</t>
  </si>
  <si>
    <t>Coefficient d'actualisation</t>
  </si>
  <si>
    <t>Flux de tresorerie nets actualises</t>
  </si>
  <si>
    <t>Valeur residuelle</t>
  </si>
  <si>
    <t>Valur residuelle actualisee</t>
  </si>
  <si>
    <t>% change</t>
  </si>
  <si>
    <t>VAN</t>
  </si>
  <si>
    <t>TRI</t>
  </si>
  <si>
    <t>Flux</t>
  </si>
  <si>
    <t>Initial Investment</t>
  </si>
  <si>
    <t>PI</t>
  </si>
  <si>
    <t>Payback Period</t>
  </si>
  <si>
    <t>Flux lie a l'investissement</t>
  </si>
  <si>
    <t>Flux lie a la valeur terminale</t>
  </si>
  <si>
    <t>Flux de tresorerie nets actualises apres investissement</t>
  </si>
  <si>
    <t>Cumul des flux de tresorerie nets actualises apres investissement</t>
  </si>
  <si>
    <t>years</t>
  </si>
  <si>
    <t>months</t>
  </si>
  <si>
    <t>Days</t>
  </si>
  <si>
    <t>BALIMA Expansion Strategy</t>
  </si>
  <si>
    <t xml:space="preserve">Growth rate </t>
  </si>
  <si>
    <t>Investissements recurrents</t>
  </si>
  <si>
    <t>Green BALIMA  Strategy</t>
  </si>
  <si>
    <t>Growth rate</t>
  </si>
  <si>
    <t>Marketing  Strategy</t>
  </si>
  <si>
    <t>Assumed/Expected Growth rate</t>
  </si>
  <si>
    <t>Theorical</t>
  </si>
  <si>
    <t>Project</t>
  </si>
  <si>
    <t>Hotel Reopening</t>
  </si>
  <si>
    <t>Green Practices</t>
  </si>
  <si>
    <t>NPV</t>
  </si>
  <si>
    <t>IRR</t>
  </si>
  <si>
    <t>Profitability Index</t>
  </si>
  <si>
    <t xml:space="preserve">  Gross Margin (Valeur Ajoutee)</t>
  </si>
  <si>
    <t>Long Range Projections(LRP)</t>
  </si>
  <si>
    <t>Model Name:</t>
  </si>
  <si>
    <t>Enter Current Year</t>
  </si>
  <si>
    <t>Enter Co Name</t>
  </si>
  <si>
    <t>BALIMA</t>
  </si>
  <si>
    <t>Pessimistic</t>
  </si>
  <si>
    <t>Realistic</t>
  </si>
  <si>
    <t>Optimistic</t>
  </si>
  <si>
    <t>Scenarios</t>
  </si>
  <si>
    <t>Simple Forecast</t>
  </si>
  <si>
    <t>1% drop in Balima Result</t>
  </si>
  <si>
    <t>1% increase in Balima Result</t>
  </si>
  <si>
    <t>Hotel Opening</t>
  </si>
  <si>
    <t xml:space="preserve">-   </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</si>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</sst>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00%"/>
    <numFmt numFmtId="166" formatCode="_(* #,##0.0000_);_(* \(#,##0.0000\);_(* &quot;-&quot;??_);_(@_)"/>
    <numFmt numFmtId="167" formatCode="_(* #,##0.00000_);_(* \(#,##0.00000\);_(* &quot;-&quot;??_);_(@_)"/>
    <numFmt numFmtId="168" formatCode="_(* #,##0_);_(* \(#,##0\);_(* &quot;-&quot;??_);_(@_)"/>
  </numFmts>
  <fonts count="15" x14ac:knownFonts="1">
    <font>
      <sz val="11"/>
      <color theme="1"/>
      <name val="Aptos Narrow"/>
      <family val="2"/>
      <scheme val="minor"/>
    </font>
    <font>
      <sz val="11"/>
      <color theme="1"/>
      <name val="Aptos Narrow"/>
      <family val="2"/>
      <scheme val="minor"/>
    </font>
    <font>
      <b/>
      <sz val="11"/>
      <color theme="1"/>
      <name val="Aptos Narrow"/>
      <family val="2"/>
      <scheme val="minor"/>
    </font>
    <font>
      <b/>
      <u/>
      <sz val="11"/>
      <color theme="1"/>
      <name val="Aptos Narrow"/>
      <family val="2"/>
      <scheme val="minor"/>
    </font>
    <font>
      <b/>
      <sz val="11"/>
      <color rgb="FF000000"/>
      <name val="Calibri"/>
      <family val="2"/>
    </font>
    <font>
      <b/>
      <i/>
      <sz val="11"/>
      <color theme="1"/>
      <name val="Aptos Narrow"/>
      <family val="2"/>
      <scheme val="minor"/>
    </font>
    <font>
      <i/>
      <sz val="11"/>
      <color theme="1"/>
      <name val="Aptos Narrow"/>
      <family val="2"/>
      <scheme val="minor"/>
    </font>
    <font>
      <i/>
      <sz val="11"/>
      <color rgb="FF000000"/>
      <name val="Calibri"/>
      <family val="2"/>
    </font>
    <font>
      <b/>
      <sz val="16"/>
      <color theme="1"/>
      <name val="Aptos Narrow"/>
      <family val="2"/>
      <scheme val="minor"/>
    </font>
    <font>
      <i/>
      <sz val="9"/>
      <color theme="1"/>
      <name val="Aptos Narrow"/>
      <family val="2"/>
      <scheme val="minor"/>
    </font>
    <font>
      <b/>
      <sz val="12"/>
      <color theme="1"/>
      <name val="Aptos Narrow"/>
      <family val="2"/>
      <scheme val="minor"/>
    </font>
    <font>
      <u/>
      <sz val="11"/>
      <color theme="1"/>
      <name val="Aptos Narrow"/>
      <family val="2"/>
      <scheme val="minor"/>
    </font>
    <font>
      <b/>
      <u val="singleAccounting"/>
      <sz val="11"/>
      <color theme="1"/>
      <name val="Aptos Narrow"/>
      <family val="2"/>
      <scheme val="minor"/>
    </font>
    <font>
      <i/>
      <sz val="11"/>
      <color rgb="FF000000"/>
      <name val="Aptos Narrow"/>
      <family val="2"/>
      <scheme val="minor"/>
    </font>
    <font>
      <sz val="11"/>
      <color rgb="FF000000"/>
      <name val="Aptos Narrow"/>
      <family val="2"/>
      <scheme val="minor"/>
    </font>
  </fonts>
  <fills count="10">
    <fill>
      <patternFill patternType="none"/>
    </fill>
    <fill>
      <patternFill patternType="gray125"/>
    </fill>
    <fill>
      <patternFill patternType="solid">
        <fgColor theme="5" tint="0.39997558519241921"/>
        <bgColor indexed="64"/>
      </patternFill>
    </fill>
    <fill>
      <patternFill patternType="solid">
        <fgColor theme="7" tint="0.7999816888943144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5" tint="0.59999389629810485"/>
        <bgColor indexed="64"/>
      </patternFill>
    </fill>
    <fill>
      <patternFill patternType="solid">
        <fgColor rgb="FF00B0F0"/>
        <bgColor indexed="64"/>
      </patternFill>
    </fill>
    <fill>
      <patternFill patternType="solid">
        <fgColor theme="4" tint="0.39997558519241921"/>
        <bgColor indexed="64"/>
      </patternFill>
    </fill>
    <fill>
      <patternFill patternType="solid">
        <fgColor theme="4" tint="0.79998168889431442"/>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thin">
        <color indexed="64"/>
      </top>
      <bottom style="medium">
        <color indexed="64"/>
      </bottom>
      <diagonal/>
    </border>
    <border>
      <left/>
      <right/>
      <top style="thin">
        <color indexed="64"/>
      </top>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right/>
      <top/>
      <bottom style="double">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6">
    <xf numFmtId="0" fontId="0" fillId="0" borderId="0" xfId="0"/>
    <xf numFmtId="22" fontId="0" fillId="0" borderId="0" xfId="0" applyNumberFormat="1"/>
    <xf numFmtId="43" fontId="0" fillId="0" borderId="0" xfId="0" applyNumberFormat="1"/>
    <xf numFmtId="0" fontId="2" fillId="0" borderId="0" xfId="0" applyFont="1"/>
    <xf numFmtId="0" fontId="3" fillId="0" borderId="0" xfId="0" applyFont="1"/>
    <xf numFmtId="43" fontId="0" fillId="0" borderId="0" xfId="0" applyNumberFormat="1" applyAlignment="1">
      <alignment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8" fillId="0" borderId="0" xfId="0" applyFont="1"/>
    <xf numFmtId="0" fontId="0" fillId="0" borderId="9" xfId="0" applyBorder="1"/>
    <xf numFmtId="0" fontId="0" fillId="0" borderId="10" xfId="0" applyBorder="1"/>
    <xf numFmtId="0" fontId="0" fillId="0" borderId="10" xfId="0" applyBorder="1" applyAlignment="1">
      <alignment horizontal="center"/>
    </xf>
    <xf numFmtId="0" fontId="0" fillId="0" borderId="4" xfId="0" applyBorder="1" applyAlignment="1">
      <alignment horizontal="center"/>
    </xf>
    <xf numFmtId="0" fontId="2" fillId="0" borderId="9" xfId="0" applyFont="1" applyBorder="1" applyAlignment="1">
      <alignment horizontal="center"/>
    </xf>
    <xf numFmtId="0" fontId="0" fillId="0" borderId="11" xfId="0" applyBorder="1" applyAlignment="1">
      <alignment horizontal="center"/>
    </xf>
    <xf numFmtId="0" fontId="0" fillId="0" borderId="5" xfId="0" applyBorder="1" applyAlignment="1">
      <alignment horizontal="center"/>
    </xf>
    <xf numFmtId="0" fontId="2" fillId="0" borderId="11" xfId="0" applyFont="1" applyBorder="1" applyAlignment="1">
      <alignment horizontal="center"/>
    </xf>
    <xf numFmtId="0" fontId="3" fillId="0" borderId="1" xfId="0" applyFont="1" applyBorder="1"/>
    <xf numFmtId="0" fontId="2" fillId="2" borderId="4" xfId="0" applyFont="1" applyFill="1" applyBorder="1"/>
    <xf numFmtId="0" fontId="2" fillId="2" borderId="0" xfId="0" applyFont="1" applyFill="1"/>
    <xf numFmtId="43" fontId="2" fillId="2" borderId="0" xfId="0" applyNumberFormat="1" applyFont="1" applyFill="1"/>
    <xf numFmtId="164" fontId="0" fillId="0" borderId="0" xfId="2" applyNumberFormat="1" applyFont="1" applyBorder="1"/>
    <xf numFmtId="0" fontId="6" fillId="0" borderId="4" xfId="0" applyFont="1" applyBorder="1" applyAlignment="1">
      <alignment horizontal="center" vertical="center"/>
    </xf>
    <xf numFmtId="43" fontId="6" fillId="0" borderId="0" xfId="0" applyNumberFormat="1" applyFont="1"/>
    <xf numFmtId="0" fontId="6" fillId="0" borderId="5" xfId="0" applyFont="1" applyBorder="1" applyAlignment="1">
      <alignment horizontal="center" vertical="center"/>
    </xf>
    <xf numFmtId="0" fontId="0" fillId="0" borderId="0" xfId="0" applyAlignment="1">
      <alignment vertical="center"/>
    </xf>
    <xf numFmtId="43" fontId="6" fillId="0" borderId="0" xfId="0" applyNumberFormat="1" applyFont="1" applyAlignment="1">
      <alignment vertical="center"/>
    </xf>
    <xf numFmtId="0" fontId="6" fillId="0" borderId="5" xfId="0" applyFont="1" applyBorder="1" applyAlignment="1">
      <alignment horizontal="center" vertical="center" wrapText="1"/>
    </xf>
    <xf numFmtId="0" fontId="6" fillId="0" borderId="5" xfId="0" applyFont="1" applyBorder="1" applyAlignment="1">
      <alignment horizontal="center" wrapText="1"/>
    </xf>
    <xf numFmtId="0" fontId="2" fillId="5" borderId="4" xfId="0" applyFont="1" applyFill="1" applyBorder="1"/>
    <xf numFmtId="0" fontId="2" fillId="5" borderId="0" xfId="0" applyFont="1" applyFill="1"/>
    <xf numFmtId="43" fontId="2" fillId="5" borderId="0" xfId="0" applyNumberFormat="1" applyFont="1" applyFill="1"/>
    <xf numFmtId="164" fontId="2" fillId="0" borderId="7" xfId="2" applyNumberFormat="1" applyFont="1" applyBorder="1"/>
    <xf numFmtId="43" fontId="2" fillId="2" borderId="4" xfId="0" applyNumberFormat="1" applyFont="1" applyFill="1" applyBorder="1"/>
    <xf numFmtId="43" fontId="2" fillId="2" borderId="5" xfId="0" applyNumberFormat="1" applyFont="1" applyFill="1" applyBorder="1"/>
    <xf numFmtId="43" fontId="6" fillId="0" borderId="4" xfId="0" applyNumberFormat="1" applyFont="1" applyBorder="1"/>
    <xf numFmtId="43" fontId="6" fillId="0" borderId="5" xfId="0" applyNumberFormat="1" applyFont="1" applyBorder="1"/>
    <xf numFmtId="43" fontId="6" fillId="0" borderId="4" xfId="0" applyNumberFormat="1" applyFont="1" applyBorder="1" applyAlignment="1">
      <alignment vertical="center"/>
    </xf>
    <xf numFmtId="43" fontId="6" fillId="0" borderId="5" xfId="0" applyNumberFormat="1" applyFont="1" applyBorder="1" applyAlignment="1">
      <alignment vertical="center"/>
    </xf>
    <xf numFmtId="43" fontId="2" fillId="5" borderId="4" xfId="0" applyNumberFormat="1" applyFont="1" applyFill="1" applyBorder="1"/>
    <xf numFmtId="0" fontId="2" fillId="5" borderId="5" xfId="0" applyFont="1" applyFill="1" applyBorder="1"/>
    <xf numFmtId="164" fontId="2" fillId="0" borderId="6" xfId="2" applyNumberFormat="1" applyFont="1" applyBorder="1"/>
    <xf numFmtId="164" fontId="2" fillId="0" borderId="8" xfId="2" applyNumberFormat="1" applyFont="1" applyBorder="1"/>
    <xf numFmtId="43" fontId="0" fillId="5" borderId="4" xfId="0" applyNumberFormat="1" applyFill="1" applyBorder="1"/>
    <xf numFmtId="43" fontId="0" fillId="5" borderId="0" xfId="0" applyNumberFormat="1" applyFill="1"/>
    <xf numFmtId="43" fontId="0" fillId="5" borderId="5" xfId="0" applyNumberFormat="1" applyFill="1" applyBorder="1"/>
    <xf numFmtId="164" fontId="2" fillId="0" borderId="4" xfId="2" applyNumberFormat="1" applyFont="1" applyBorder="1"/>
    <xf numFmtId="164" fontId="2" fillId="0" borderId="0" xfId="2" applyNumberFormat="1" applyFont="1" applyBorder="1"/>
    <xf numFmtId="164" fontId="2" fillId="0" borderId="5" xfId="2" applyNumberFormat="1" applyFont="1" applyBorder="1"/>
    <xf numFmtId="43" fontId="6" fillId="0" borderId="4" xfId="0" applyNumberFormat="1" applyFont="1" applyBorder="1" applyAlignment="1">
      <alignment vertical="center" wrapText="1"/>
    </xf>
    <xf numFmtId="43" fontId="6" fillId="0" borderId="0" xfId="0" applyNumberFormat="1" applyFont="1" applyAlignment="1">
      <alignment vertical="center" wrapText="1"/>
    </xf>
    <xf numFmtId="43" fontId="6" fillId="0" borderId="5" xfId="0" applyNumberFormat="1" applyFont="1" applyBorder="1" applyAlignment="1">
      <alignment vertical="center" wrapText="1"/>
    </xf>
    <xf numFmtId="43" fontId="5" fillId="0" borderId="4" xfId="0" applyNumberFormat="1" applyFont="1" applyBorder="1" applyAlignment="1">
      <alignment vertical="center" wrapText="1"/>
    </xf>
    <xf numFmtId="43" fontId="5" fillId="0" borderId="0" xfId="0" applyNumberFormat="1" applyFont="1" applyAlignment="1">
      <alignment vertical="center" wrapText="1"/>
    </xf>
    <xf numFmtId="43" fontId="5" fillId="0" borderId="5" xfId="0" applyNumberFormat="1" applyFont="1" applyBorder="1" applyAlignment="1">
      <alignment vertical="center" wrapText="1"/>
    </xf>
    <xf numFmtId="43" fontId="2" fillId="5" borderId="5" xfId="0" applyNumberFormat="1" applyFont="1" applyFill="1" applyBorder="1"/>
    <xf numFmtId="43" fontId="2" fillId="0" borderId="4" xfId="0" applyNumberFormat="1" applyFont="1" applyBorder="1"/>
    <xf numFmtId="43" fontId="2" fillId="0" borderId="0" xfId="0" applyNumberFormat="1" applyFont="1"/>
    <xf numFmtId="43" fontId="2" fillId="0" borderId="5" xfId="0" applyNumberFormat="1" applyFont="1" applyBorder="1"/>
    <xf numFmtId="43" fontId="6" fillId="0" borderId="4" xfId="0" applyNumberFormat="1" applyFont="1" applyBorder="1" applyAlignment="1">
      <alignment horizontal="right" vertical="center" wrapText="1"/>
    </xf>
    <xf numFmtId="43" fontId="6" fillId="0" borderId="0" xfId="0" applyNumberFormat="1" applyFont="1" applyAlignment="1">
      <alignment horizontal="right" vertical="center" wrapText="1"/>
    </xf>
    <xf numFmtId="43" fontId="6" fillId="0" borderId="5" xfId="0" applyNumberFormat="1" applyFont="1" applyBorder="1" applyAlignment="1">
      <alignment horizontal="right" vertical="center" wrapText="1"/>
    </xf>
    <xf numFmtId="43" fontId="2" fillId="0" borderId="4" xfId="0" applyNumberFormat="1" applyFont="1" applyBorder="1" applyAlignment="1">
      <alignment horizontal="right" vertical="center" wrapText="1"/>
    </xf>
    <xf numFmtId="43" fontId="2" fillId="0" borderId="0" xfId="0" applyNumberFormat="1" applyFont="1" applyAlignment="1">
      <alignment horizontal="right" vertical="center" wrapText="1"/>
    </xf>
    <xf numFmtId="43" fontId="2" fillId="0" borderId="5" xfId="0" applyNumberFormat="1" applyFont="1" applyBorder="1" applyAlignment="1">
      <alignment horizontal="right" vertical="center" wrapText="1"/>
    </xf>
    <xf numFmtId="43" fontId="6" fillId="0" borderId="4" xfId="0" applyNumberFormat="1" applyFont="1" applyBorder="1" applyAlignment="1">
      <alignment horizontal="right" vertical="center"/>
    </xf>
    <xf numFmtId="43" fontId="6" fillId="0" borderId="0" xfId="0" applyNumberFormat="1" applyFont="1" applyAlignment="1">
      <alignment horizontal="right" vertical="center"/>
    </xf>
    <xf numFmtId="43" fontId="6" fillId="0" borderId="5" xfId="0" applyNumberFormat="1" applyFont="1" applyBorder="1" applyAlignment="1">
      <alignment horizontal="right" vertical="center"/>
    </xf>
    <xf numFmtId="43" fontId="5" fillId="5" borderId="4" xfId="0" applyNumberFormat="1" applyFont="1" applyFill="1" applyBorder="1" applyAlignment="1">
      <alignment horizontal="right" vertical="center"/>
    </xf>
    <xf numFmtId="43" fontId="5" fillId="5" borderId="0" xfId="0" applyNumberFormat="1" applyFont="1" applyFill="1" applyAlignment="1">
      <alignment horizontal="right" vertical="center"/>
    </xf>
    <xf numFmtId="43" fontId="5" fillId="5" borderId="5" xfId="0" applyNumberFormat="1" applyFont="1" applyFill="1" applyBorder="1" applyAlignment="1">
      <alignment horizontal="right" vertical="center"/>
    </xf>
    <xf numFmtId="43" fontId="7" fillId="2" borderId="4" xfId="0" applyNumberFormat="1" applyFont="1" applyFill="1" applyBorder="1"/>
    <xf numFmtId="43" fontId="7" fillId="2" borderId="0" xfId="0" applyNumberFormat="1" applyFont="1" applyFill="1"/>
    <xf numFmtId="43" fontId="7" fillId="2" borderId="5" xfId="0" applyNumberFormat="1" applyFont="1" applyFill="1" applyBorder="1"/>
    <xf numFmtId="43" fontId="4" fillId="5" borderId="4" xfId="0" applyNumberFormat="1" applyFont="1" applyFill="1" applyBorder="1"/>
    <xf numFmtId="43" fontId="4" fillId="5" borderId="0" xfId="0" applyNumberFormat="1" applyFont="1" applyFill="1"/>
    <xf numFmtId="43" fontId="4" fillId="5" borderId="5" xfId="0" applyNumberFormat="1" applyFont="1" applyFill="1" applyBorder="1"/>
    <xf numFmtId="43" fontId="6" fillId="5" borderId="4" xfId="0" applyNumberFormat="1" applyFont="1" applyFill="1" applyBorder="1"/>
    <xf numFmtId="43" fontId="6" fillId="5" borderId="0" xfId="0" applyNumberFormat="1" applyFont="1" applyFill="1"/>
    <xf numFmtId="43" fontId="6" fillId="5" borderId="5" xfId="0" applyNumberFormat="1" applyFont="1" applyFill="1" applyBorder="1"/>
    <xf numFmtId="43" fontId="0" fillId="0" borderId="4" xfId="0" applyNumberFormat="1" applyBorder="1"/>
    <xf numFmtId="43" fontId="0" fillId="0" borderId="5" xfId="0" applyNumberFormat="1" applyBorder="1"/>
    <xf numFmtId="43" fontId="0" fillId="4" borderId="0" xfId="0" applyNumberFormat="1" applyFill="1"/>
    <xf numFmtId="43" fontId="0" fillId="4" borderId="5" xfId="0" applyNumberFormat="1" applyFill="1" applyBorder="1"/>
    <xf numFmtId="43" fontId="0" fillId="4" borderId="4" xfId="0" applyNumberFormat="1" applyFill="1" applyBorder="1"/>
    <xf numFmtId="43" fontId="2" fillId="2" borderId="11" xfId="0" applyNumberFormat="1" applyFont="1" applyFill="1" applyBorder="1"/>
    <xf numFmtId="43" fontId="6" fillId="0" borderId="11" xfId="0" applyNumberFormat="1" applyFont="1" applyBorder="1"/>
    <xf numFmtId="43" fontId="6" fillId="0" borderId="11" xfId="0" applyNumberFormat="1" applyFont="1" applyBorder="1" applyAlignment="1">
      <alignment vertical="center"/>
    </xf>
    <xf numFmtId="0" fontId="2" fillId="5" borderId="11" xfId="0" applyFont="1" applyFill="1" applyBorder="1"/>
    <xf numFmtId="164" fontId="2" fillId="0" borderId="10" xfId="2" applyNumberFormat="1" applyFont="1" applyBorder="1"/>
    <xf numFmtId="0" fontId="0" fillId="0" borderId="11" xfId="0" applyBorder="1"/>
    <xf numFmtId="43" fontId="0" fillId="5" borderId="11" xfId="0" applyNumberFormat="1" applyFill="1" applyBorder="1"/>
    <xf numFmtId="164" fontId="2" fillId="0" borderId="11" xfId="2" applyNumberFormat="1" applyFont="1" applyBorder="1"/>
    <xf numFmtId="43" fontId="6" fillId="0" borderId="11" xfId="0" applyNumberFormat="1" applyFont="1" applyBorder="1" applyAlignment="1">
      <alignment vertical="center" wrapText="1"/>
    </xf>
    <xf numFmtId="43" fontId="5" fillId="0" borderId="11" xfId="0" applyNumberFormat="1" applyFont="1" applyBorder="1" applyAlignment="1">
      <alignment vertical="center" wrapText="1"/>
    </xf>
    <xf numFmtId="43" fontId="2" fillId="5" borderId="11" xfId="0" applyNumberFormat="1" applyFont="1" applyFill="1" applyBorder="1"/>
    <xf numFmtId="43" fontId="2" fillId="0" borderId="11" xfId="0" applyNumberFormat="1" applyFont="1" applyBorder="1"/>
    <xf numFmtId="43" fontId="6" fillId="0" borderId="11" xfId="0" applyNumberFormat="1" applyFont="1" applyBorder="1" applyAlignment="1">
      <alignment horizontal="right" vertical="center" wrapText="1"/>
    </xf>
    <xf numFmtId="43" fontId="2" fillId="0" borderId="11" xfId="0" applyNumberFormat="1" applyFont="1" applyBorder="1" applyAlignment="1">
      <alignment horizontal="right" vertical="center" wrapText="1"/>
    </xf>
    <xf numFmtId="43" fontId="5" fillId="5" borderId="11" xfId="0" applyNumberFormat="1" applyFont="1" applyFill="1" applyBorder="1" applyAlignment="1">
      <alignment horizontal="right" vertical="center"/>
    </xf>
    <xf numFmtId="43" fontId="6" fillId="2" borderId="11" xfId="0" applyNumberFormat="1" applyFont="1" applyFill="1" applyBorder="1"/>
    <xf numFmtId="43" fontId="4" fillId="5" borderId="11" xfId="0" applyNumberFormat="1" applyFont="1" applyFill="1" applyBorder="1"/>
    <xf numFmtId="43" fontId="6" fillId="5" borderId="11" xfId="0" applyNumberFormat="1" applyFont="1" applyFill="1" applyBorder="1"/>
    <xf numFmtId="43" fontId="0" fillId="0" borderId="11" xfId="0" applyNumberFormat="1" applyBorder="1"/>
    <xf numFmtId="43" fontId="0" fillId="0" borderId="4" xfId="0" applyNumberFormat="1" applyBorder="1" applyAlignment="1">
      <alignment vertical="center"/>
    </xf>
    <xf numFmtId="43" fontId="0" fillId="0" borderId="5" xfId="0" applyNumberFormat="1" applyBorder="1" applyAlignment="1">
      <alignment vertical="center"/>
    </xf>
    <xf numFmtId="43" fontId="5" fillId="0" borderId="4" xfId="0" applyNumberFormat="1" applyFont="1" applyBorder="1" applyAlignment="1">
      <alignment horizontal="right" vertical="center"/>
    </xf>
    <xf numFmtId="43" fontId="5" fillId="0" borderId="0" xfId="0" applyNumberFormat="1" applyFont="1" applyAlignment="1">
      <alignment horizontal="right" vertical="center"/>
    </xf>
    <xf numFmtId="43" fontId="5" fillId="0" borderId="5" xfId="0" applyNumberFormat="1" applyFont="1" applyBorder="1" applyAlignment="1">
      <alignment horizontal="right" vertical="center"/>
    </xf>
    <xf numFmtId="43" fontId="6" fillId="2" borderId="4" xfId="0" applyNumberFormat="1" applyFont="1" applyFill="1" applyBorder="1"/>
    <xf numFmtId="43" fontId="6" fillId="2" borderId="0" xfId="0" applyNumberFormat="1" applyFont="1" applyFill="1"/>
    <xf numFmtId="43" fontId="6" fillId="2" borderId="5" xfId="0" applyNumberFormat="1" applyFont="1" applyFill="1" applyBorder="1"/>
    <xf numFmtId="164" fontId="0" fillId="0" borderId="4" xfId="2" applyNumberFormat="1" applyFont="1" applyBorder="1"/>
    <xf numFmtId="164" fontId="0" fillId="0" borderId="5" xfId="2" applyNumberFormat="1" applyFont="1" applyBorder="1"/>
    <xf numFmtId="0" fontId="2" fillId="0" borderId="4" xfId="0" applyFont="1" applyBorder="1"/>
    <xf numFmtId="0" fontId="2" fillId="0" borderId="5" xfId="0" applyFont="1" applyBorder="1"/>
    <xf numFmtId="0" fontId="0" fillId="0" borderId="11" xfId="0" applyBorder="1" applyAlignment="1">
      <alignment wrapText="1"/>
    </xf>
    <xf numFmtId="0" fontId="2" fillId="0" borderId="11" xfId="0" applyFont="1" applyBorder="1"/>
    <xf numFmtId="0" fontId="2" fillId="2" borderId="1" xfId="0" applyFont="1" applyFill="1" applyBorder="1"/>
    <xf numFmtId="0" fontId="2" fillId="2" borderId="2" xfId="0" applyFont="1" applyFill="1" applyBorder="1"/>
    <xf numFmtId="43" fontId="2" fillId="2" borderId="2" xfId="0" applyNumberFormat="1" applyFont="1" applyFill="1" applyBorder="1"/>
    <xf numFmtId="43" fontId="2" fillId="2" borderId="1" xfId="0" applyNumberFormat="1" applyFont="1" applyFill="1" applyBorder="1"/>
    <xf numFmtId="43" fontId="2" fillId="2" borderId="3" xfId="0" applyNumberFormat="1" applyFont="1" applyFill="1" applyBorder="1"/>
    <xf numFmtId="43" fontId="2" fillId="2" borderId="9" xfId="0" applyNumberFormat="1" applyFont="1" applyFill="1" applyBorder="1"/>
    <xf numFmtId="164" fontId="0" fillId="0" borderId="1" xfId="2" applyNumberFormat="1" applyFont="1" applyBorder="1"/>
    <xf numFmtId="164" fontId="0" fillId="0" borderId="3" xfId="2" applyNumberFormat="1" applyFont="1" applyBorder="1"/>
    <xf numFmtId="0" fontId="0" fillId="5" borderId="4" xfId="0" applyFill="1" applyBorder="1"/>
    <xf numFmtId="0" fontId="6"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0" borderId="0" xfId="0" applyFont="1" applyAlignment="1">
      <alignment horizontal="right" vertical="center" wrapText="1"/>
    </xf>
    <xf numFmtId="0" fontId="2" fillId="0" borderId="4" xfId="0" applyFont="1" applyBorder="1" applyAlignment="1">
      <alignment horizontal="left" vertical="center" wrapText="1"/>
    </xf>
    <xf numFmtId="0" fontId="2" fillId="0" borderId="0" xfId="0" applyFont="1" applyAlignment="1">
      <alignment horizontal="right" vertical="center" wrapText="1"/>
    </xf>
    <xf numFmtId="0" fontId="2" fillId="0" borderId="6" xfId="0" applyFont="1" applyBorder="1"/>
    <xf numFmtId="0" fontId="3" fillId="2" borderId="4" xfId="0" applyFont="1" applyFill="1" applyBorder="1"/>
    <xf numFmtId="0" fontId="0" fillId="2" borderId="0" xfId="0" applyFill="1"/>
    <xf numFmtId="0" fontId="6" fillId="2" borderId="4" xfId="0" applyFont="1" applyFill="1" applyBorder="1"/>
    <xf numFmtId="0" fontId="6" fillId="5" borderId="4" xfId="0" applyFont="1" applyFill="1" applyBorder="1"/>
    <xf numFmtId="43" fontId="0" fillId="0" borderId="0" xfId="1" applyFont="1" applyBorder="1"/>
    <xf numFmtId="43" fontId="0" fillId="0" borderId="5" xfId="1" applyFont="1" applyBorder="1"/>
    <xf numFmtId="0" fontId="8" fillId="0" borderId="0" xfId="0" applyFont="1" applyAlignment="1">
      <alignment horizontal="center"/>
    </xf>
    <xf numFmtId="164" fontId="2" fillId="3" borderId="4" xfId="2" applyNumberFormat="1" applyFont="1" applyFill="1" applyBorder="1"/>
    <xf numFmtId="164" fontId="2" fillId="3" borderId="6" xfId="2" applyNumberFormat="1" applyFont="1" applyFill="1" applyBorder="1"/>
    <xf numFmtId="164" fontId="2" fillId="0" borderId="12" xfId="2" applyNumberFormat="1" applyFont="1" applyBorder="1"/>
    <xf numFmtId="0" fontId="0" fillId="0" borderId="12" xfId="0" applyBorder="1"/>
    <xf numFmtId="0" fontId="0" fillId="0" borderId="13" xfId="0" applyBorder="1"/>
    <xf numFmtId="0" fontId="6" fillId="0" borderId="4" xfId="0" applyFont="1" applyBorder="1"/>
    <xf numFmtId="0" fontId="9" fillId="0" borderId="4" xfId="0" applyFont="1" applyBorder="1"/>
    <xf numFmtId="9" fontId="0" fillId="0" borderId="0" xfId="2" applyFont="1" applyBorder="1"/>
    <xf numFmtId="9" fontId="0" fillId="0" borderId="7" xfId="2" applyFont="1" applyBorder="1"/>
    <xf numFmtId="0" fontId="6"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3" fillId="0" borderId="9" xfId="0" applyFont="1" applyBorder="1"/>
    <xf numFmtId="0" fontId="2" fillId="0" borderId="11" xfId="0" applyFont="1" applyBorder="1" applyAlignment="1">
      <alignment horizontal="left" vertical="center" wrapText="1"/>
    </xf>
    <xf numFmtId="0" fontId="6" fillId="0" borderId="11" xfId="0" applyFont="1" applyBorder="1" applyAlignment="1">
      <alignment horizontal="center" vertical="center"/>
    </xf>
    <xf numFmtId="9" fontId="0" fillId="0" borderId="5" xfId="2" applyFont="1" applyBorder="1"/>
    <xf numFmtId="9" fontId="0" fillId="0" borderId="6" xfId="2" applyFont="1" applyBorder="1"/>
    <xf numFmtId="9" fontId="0" fillId="0" borderId="8" xfId="2" applyFont="1" applyBorder="1"/>
    <xf numFmtId="43" fontId="0" fillId="0" borderId="4" xfId="0" applyNumberFormat="1" applyBorder="1" applyAlignment="1">
      <alignment horizontal="right" vertical="center"/>
    </xf>
    <xf numFmtId="43" fontId="0" fillId="0" borderId="0" xfId="0" applyNumberFormat="1" applyAlignment="1">
      <alignment horizontal="right" vertical="center"/>
    </xf>
    <xf numFmtId="43" fontId="0" fillId="0" borderId="5" xfId="0" applyNumberFormat="1" applyBorder="1" applyAlignment="1">
      <alignment horizontal="right" vertical="center"/>
    </xf>
    <xf numFmtId="9" fontId="0" fillId="0" borderId="11" xfId="2" applyFont="1" applyBorder="1"/>
    <xf numFmtId="9" fontId="0" fillId="0" borderId="10" xfId="2" applyFont="1" applyBorder="1"/>
    <xf numFmtId="43" fontId="0" fillId="0" borderId="11" xfId="0" applyNumberFormat="1" applyBorder="1" applyAlignment="1">
      <alignment horizontal="right" vertical="center"/>
    </xf>
    <xf numFmtId="0" fontId="0" fillId="0" borderId="0" xfId="0" applyAlignment="1">
      <alignment horizontal="center"/>
    </xf>
    <xf numFmtId="9" fontId="0" fillId="0" borderId="4" xfId="2" applyFont="1" applyBorder="1"/>
    <xf numFmtId="12" fontId="0" fillId="0" borderId="0" xfId="0" applyNumberFormat="1"/>
    <xf numFmtId="164" fontId="0" fillId="0" borderId="4" xfId="2" applyNumberFormat="1" applyFont="1" applyFill="1" applyBorder="1"/>
    <xf numFmtId="164" fontId="0" fillId="0" borderId="5" xfId="2" applyNumberFormat="1" applyFont="1" applyFill="1" applyBorder="1"/>
    <xf numFmtId="0" fontId="3" fillId="0" borderId="4" xfId="0" applyFont="1" applyBorder="1"/>
    <xf numFmtId="10" fontId="0" fillId="0" borderId="6" xfId="2" applyNumberFormat="1" applyFont="1" applyBorder="1"/>
    <xf numFmtId="10" fontId="0" fillId="0" borderId="7" xfId="2" applyNumberFormat="1" applyFont="1" applyBorder="1"/>
    <xf numFmtId="10" fontId="0" fillId="0" borderId="8" xfId="2" applyNumberFormat="1" applyFont="1" applyBorder="1"/>
    <xf numFmtId="10" fontId="0" fillId="0" borderId="10" xfId="2" applyNumberFormat="1" applyFont="1" applyBorder="1"/>
    <xf numFmtId="0" fontId="0" fillId="0" borderId="4" xfId="0" applyBorder="1" applyAlignment="1">
      <alignment horizontal="left" vertical="center" wrapText="1"/>
    </xf>
    <xf numFmtId="0" fontId="0" fillId="0" borderId="0" xfId="0" applyAlignment="1">
      <alignment horizontal="right" vertical="center"/>
    </xf>
    <xf numFmtId="43" fontId="2" fillId="0" borderId="11" xfId="0" applyNumberFormat="1" applyFont="1" applyBorder="1" applyAlignment="1">
      <alignment horizontal="center"/>
    </xf>
    <xf numFmtId="164" fontId="0" fillId="0" borderId="11" xfId="2" applyNumberFormat="1" applyFont="1" applyBorder="1"/>
    <xf numFmtId="43" fontId="0" fillId="0" borderId="1" xfId="0" applyNumberFormat="1" applyBorder="1"/>
    <xf numFmtId="43" fontId="0" fillId="0" borderId="2" xfId="0" applyNumberFormat="1" applyBorder="1"/>
    <xf numFmtId="43" fontId="0" fillId="0" borderId="3" xfId="0" applyNumberFormat="1" applyBorder="1"/>
    <xf numFmtId="43" fontId="0" fillId="0" borderId="9" xfId="0" applyNumberFormat="1" applyBorder="1"/>
    <xf numFmtId="43" fontId="0" fillId="5" borderId="0" xfId="0" applyNumberFormat="1" applyFill="1" applyAlignment="1">
      <alignment vertical="center"/>
    </xf>
    <xf numFmtId="43" fontId="0" fillId="5" borderId="5" xfId="0" applyNumberFormat="1" applyFill="1" applyBorder="1" applyAlignment="1">
      <alignment vertical="center"/>
    </xf>
    <xf numFmtId="43" fontId="0" fillId="5" borderId="0" xfId="0" applyNumberFormat="1" applyFill="1" applyAlignment="1">
      <alignment horizontal="left" vertical="center"/>
    </xf>
    <xf numFmtId="43" fontId="0" fillId="5" borderId="5" xfId="0" applyNumberFormat="1" applyFill="1" applyBorder="1" applyAlignment="1">
      <alignment horizontal="left" vertical="center"/>
    </xf>
    <xf numFmtId="43" fontId="0" fillId="0" borderId="0" xfId="0" applyNumberFormat="1" applyAlignment="1">
      <alignment horizontal="left" vertical="center"/>
    </xf>
    <xf numFmtId="43" fontId="0" fillId="0" borderId="4" xfId="0" applyNumberFormat="1" applyBorder="1" applyAlignment="1">
      <alignment horizontal="left" vertical="center"/>
    </xf>
    <xf numFmtId="43" fontId="0" fillId="0" borderId="14" xfId="0" applyNumberFormat="1" applyBorder="1"/>
    <xf numFmtId="43" fontId="0" fillId="0" borderId="15" xfId="0" applyNumberFormat="1" applyBorder="1"/>
    <xf numFmtId="0" fontId="0" fillId="0" borderId="6" xfId="0" applyBorder="1" applyAlignment="1">
      <alignment horizontal="left" vertical="center" wrapText="1"/>
    </xf>
    <xf numFmtId="0" fontId="10" fillId="0" borderId="0" xfId="0" applyFont="1" applyAlignment="1">
      <alignment vertical="center"/>
    </xf>
    <xf numFmtId="0" fontId="2" fillId="0" borderId="9" xfId="0" applyFont="1" applyBorder="1" applyAlignment="1">
      <alignment horizontal="center" vertical="center"/>
    </xf>
    <xf numFmtId="0" fontId="0" fillId="0" borderId="4" xfId="0" applyBorder="1" applyAlignment="1">
      <alignment vertical="center"/>
    </xf>
    <xf numFmtId="0" fontId="0" fillId="0" borderId="5" xfId="0" applyBorder="1" applyAlignment="1">
      <alignment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43" fontId="2" fillId="0" borderId="4" xfId="0" applyNumberFormat="1" applyFont="1" applyBorder="1" applyAlignment="1">
      <alignment vertical="center"/>
    </xf>
    <xf numFmtId="43" fontId="2" fillId="0" borderId="0" xfId="0" applyNumberFormat="1" applyFont="1" applyAlignment="1">
      <alignment vertical="center"/>
    </xf>
    <xf numFmtId="43" fontId="2" fillId="0" borderId="5" xfId="0" applyNumberFormat="1" applyFont="1" applyBorder="1" applyAlignment="1">
      <alignment vertical="center"/>
    </xf>
    <xf numFmtId="43" fontId="2" fillId="0" borderId="11" xfId="0" applyNumberFormat="1" applyFont="1" applyBorder="1" applyAlignment="1">
      <alignment horizontal="center" vertical="center"/>
    </xf>
    <xf numFmtId="0" fontId="3" fillId="0" borderId="1" xfId="0" applyFont="1" applyBorder="1" applyAlignment="1">
      <alignment vertical="center"/>
    </xf>
    <xf numFmtId="0" fontId="0" fillId="0" borderId="2" xfId="0" applyBorder="1" applyAlignment="1">
      <alignment vertical="center"/>
    </xf>
    <xf numFmtId="0" fontId="0" fillId="0" borderId="3" xfId="0" applyBorder="1" applyAlignment="1">
      <alignment vertical="center"/>
    </xf>
    <xf numFmtId="164" fontId="0" fillId="0" borderId="0" xfId="2" applyNumberFormat="1" applyFont="1" applyBorder="1" applyAlignment="1">
      <alignment vertical="center"/>
    </xf>
    <xf numFmtId="164" fontId="0" fillId="0" borderId="5" xfId="2" applyNumberFormat="1" applyFont="1" applyBorder="1" applyAlignment="1">
      <alignment vertical="center"/>
    </xf>
    <xf numFmtId="43" fontId="0" fillId="0" borderId="16" xfId="0" applyNumberFormat="1" applyBorder="1" applyAlignment="1">
      <alignment vertical="center"/>
    </xf>
    <xf numFmtId="0" fontId="0" fillId="0" borderId="6" xfId="0" applyBorder="1" applyAlignment="1">
      <alignment vertical="center"/>
    </xf>
    <xf numFmtId="164" fontId="0" fillId="0" borderId="7" xfId="2" applyNumberFormat="1"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3" fillId="0" borderId="4" xfId="0" applyFont="1" applyBorder="1" applyAlignment="1">
      <alignment vertical="center"/>
    </xf>
    <xf numFmtId="43" fontId="0" fillId="0" borderId="14" xfId="0" applyNumberFormat="1" applyBorder="1" applyAlignment="1">
      <alignment vertical="center"/>
    </xf>
    <xf numFmtId="0" fontId="0" fillId="0" borderId="1" xfId="0" applyBorder="1" applyAlignment="1">
      <alignment vertical="center"/>
    </xf>
    <xf numFmtId="43" fontId="0" fillId="0" borderId="7" xfId="0" applyNumberFormat="1" applyBorder="1" applyAlignment="1">
      <alignment vertical="center"/>
    </xf>
    <xf numFmtId="0" fontId="2" fillId="0" borderId="0" xfId="0" applyFont="1" applyAlignment="1">
      <alignment horizontal="center"/>
    </xf>
    <xf numFmtId="0" fontId="3" fillId="0" borderId="2" xfId="0" applyFont="1" applyBorder="1" applyAlignment="1">
      <alignment vertical="center"/>
    </xf>
    <xf numFmtId="43" fontId="0" fillId="0" borderId="0" xfId="0" applyNumberFormat="1" applyAlignment="1">
      <alignment horizontal="left" vertical="center" wrapText="1"/>
    </xf>
    <xf numFmtId="43" fontId="0" fillId="0" borderId="2" xfId="0" applyNumberFormat="1" applyBorder="1" applyAlignment="1">
      <alignment vertical="center"/>
    </xf>
    <xf numFmtId="43" fontId="3" fillId="0" borderId="0" xfId="0" applyNumberFormat="1" applyFont="1" applyAlignment="1">
      <alignment vertical="center"/>
    </xf>
    <xf numFmtId="43" fontId="3" fillId="0" borderId="2" xfId="0" applyNumberFormat="1" applyFont="1" applyBorder="1" applyAlignment="1">
      <alignment vertical="center"/>
    </xf>
    <xf numFmtId="9" fontId="0" fillId="0" borderId="0" xfId="0" applyNumberFormat="1" applyAlignment="1">
      <alignment vertical="center"/>
    </xf>
    <xf numFmtId="1" fontId="0" fillId="0" borderId="0" xfId="0" applyNumberFormat="1" applyAlignment="1">
      <alignment vertical="center"/>
    </xf>
    <xf numFmtId="165" fontId="0" fillId="0" borderId="0" xfId="2" applyNumberFormat="1" applyFont="1" applyBorder="1" applyAlignment="1">
      <alignment vertical="center"/>
    </xf>
    <xf numFmtId="0" fontId="3" fillId="0" borderId="0" xfId="0" applyFont="1" applyAlignment="1">
      <alignment vertical="center"/>
    </xf>
    <xf numFmtId="9" fontId="0" fillId="0" borderId="0" xfId="0" applyNumberFormat="1"/>
    <xf numFmtId="164" fontId="0" fillId="0" borderId="0" xfId="0" applyNumberFormat="1"/>
    <xf numFmtId="10" fontId="0" fillId="0" borderId="0" xfId="0" applyNumberFormat="1"/>
    <xf numFmtId="164" fontId="0" fillId="0" borderId="0" xfId="2" applyNumberFormat="1" applyFont="1"/>
    <xf numFmtId="0" fontId="0" fillId="4" borderId="0" xfId="0" applyFill="1" applyAlignment="1">
      <alignment vertical="center"/>
    </xf>
    <xf numFmtId="164" fontId="0" fillId="4" borderId="0" xfId="0" applyNumberFormat="1" applyFill="1" applyAlignment="1">
      <alignment vertical="center"/>
    </xf>
    <xf numFmtId="0" fontId="0" fillId="4" borderId="7" xfId="0" applyFill="1" applyBorder="1" applyAlignment="1">
      <alignment vertical="center"/>
    </xf>
    <xf numFmtId="164" fontId="0" fillId="4" borderId="7" xfId="0" applyNumberFormat="1" applyFill="1" applyBorder="1" applyAlignment="1">
      <alignment vertical="center"/>
    </xf>
    <xf numFmtId="0" fontId="0" fillId="6" borderId="0" xfId="0" applyFill="1" applyAlignment="1">
      <alignment vertical="center"/>
    </xf>
    <xf numFmtId="9" fontId="0" fillId="6" borderId="0" xfId="0" applyNumberFormat="1" applyFill="1" applyAlignment="1">
      <alignment vertical="center"/>
    </xf>
    <xf numFmtId="0" fontId="0" fillId="6" borderId="7" xfId="0" applyFill="1" applyBorder="1" applyAlignment="1">
      <alignment vertical="center"/>
    </xf>
    <xf numFmtId="9" fontId="0" fillId="6" borderId="7" xfId="0" applyNumberFormat="1" applyFill="1" applyBorder="1" applyAlignment="1">
      <alignment vertical="center"/>
    </xf>
    <xf numFmtId="43" fontId="0" fillId="3" borderId="0" xfId="0" applyNumberFormat="1" applyFill="1" applyAlignment="1">
      <alignment vertical="center"/>
    </xf>
    <xf numFmtId="0" fontId="0" fillId="0" borderId="2" xfId="0" applyBorder="1" applyAlignment="1">
      <alignment horizontal="center" vertical="center"/>
    </xf>
    <xf numFmtId="0" fontId="11" fillId="0" borderId="4" xfId="0" applyFont="1" applyBorder="1"/>
    <xf numFmtId="43" fontId="2" fillId="4" borderId="0" xfId="0" applyNumberFormat="1" applyFont="1" applyFill="1"/>
    <xf numFmtId="167" fontId="0" fillId="0" borderId="0" xfId="0" applyNumberFormat="1"/>
    <xf numFmtId="167" fontId="0" fillId="0" borderId="5" xfId="0" applyNumberFormat="1" applyBorder="1"/>
    <xf numFmtId="0" fontId="3" fillId="7" borderId="4" xfId="0" applyFont="1" applyFill="1" applyBorder="1"/>
    <xf numFmtId="43" fontId="3" fillId="7" borderId="0" xfId="0" applyNumberFormat="1" applyFont="1" applyFill="1"/>
    <xf numFmtId="9" fontId="3" fillId="7" borderId="0" xfId="0" applyNumberFormat="1" applyFont="1" applyFill="1"/>
    <xf numFmtId="0" fontId="12" fillId="8" borderId="4" xfId="0" applyFont="1" applyFill="1" applyBorder="1"/>
    <xf numFmtId="43" fontId="12" fillId="8" borderId="0" xfId="0" applyNumberFormat="1" applyFont="1" applyFill="1"/>
    <xf numFmtId="9" fontId="12" fillId="8" borderId="0" xfId="2" applyFont="1" applyFill="1" applyBorder="1"/>
    <xf numFmtId="1" fontId="0" fillId="0" borderId="0" xfId="0" applyNumberFormat="1"/>
    <xf numFmtId="1" fontId="0" fillId="0" borderId="5" xfId="0" applyNumberFormat="1" applyBorder="1"/>
    <xf numFmtId="0" fontId="12" fillId="8" borderId="6" xfId="0" applyFont="1" applyFill="1" applyBorder="1"/>
    <xf numFmtId="43" fontId="12" fillId="8" borderId="7" xfId="0" applyNumberFormat="1" applyFont="1" applyFill="1" applyBorder="1"/>
    <xf numFmtId="168" fontId="12" fillId="8" borderId="7" xfId="0" applyNumberFormat="1" applyFont="1" applyFill="1" applyBorder="1"/>
    <xf numFmtId="168" fontId="0" fillId="0" borderId="7" xfId="0" applyNumberFormat="1" applyBorder="1"/>
    <xf numFmtId="43" fontId="0" fillId="0" borderId="8" xfId="0" applyNumberFormat="1" applyBorder="1"/>
    <xf numFmtId="166" fontId="0" fillId="0" borderId="0" xfId="0" applyNumberFormat="1"/>
    <xf numFmtId="166" fontId="0" fillId="0" borderId="5" xfId="0" applyNumberFormat="1" applyBorder="1"/>
    <xf numFmtId="9" fontId="12" fillId="8" borderId="0" xfId="0" applyNumberFormat="1" applyFont="1" applyFill="1"/>
    <xf numFmtId="43" fontId="0" fillId="0" borderId="7" xfId="0" applyNumberFormat="1" applyBorder="1"/>
    <xf numFmtId="0" fontId="0" fillId="9" borderId="0" xfId="0" applyFill="1"/>
    <xf numFmtId="0" fontId="0" fillId="9" borderId="0" xfId="0" applyFill="1" applyAlignment="1">
      <alignment horizontal="right"/>
    </xf>
    <xf numFmtId="9" fontId="0" fillId="0" borderId="0" xfId="2" applyFont="1"/>
    <xf numFmtId="0" fontId="2" fillId="0" borderId="0" xfId="0" applyFont="1" applyAlignment="1">
      <alignment horizontal="center" vertical="center"/>
    </xf>
    <xf numFmtId="0" fontId="2" fillId="0" borderId="0" xfId="0" applyFont="1" applyAlignment="1">
      <alignment horizontal="center" vertical="center" wrapText="1"/>
    </xf>
    <xf numFmtId="0" fontId="13" fillId="0" borderId="4" xfId="0" applyFont="1" applyBorder="1" applyAlignment="1">
      <alignment horizontal="center" vertical="center"/>
    </xf>
    <xf numFmtId="0" fontId="14" fillId="0" borderId="0" xfId="0" applyFont="1"/>
    <xf numFmtId="0" fontId="13" fillId="0" borderId="4" xfId="0" applyFont="1" applyBorder="1" applyAlignment="1">
      <alignment horizontal="right" vertical="center"/>
    </xf>
    <xf numFmtId="0" fontId="13" fillId="0" borderId="0" xfId="0" applyFont="1" applyAlignment="1">
      <alignment horizontal="right" vertical="center"/>
    </xf>
    <xf numFmtId="0" fontId="13" fillId="0" borderId="5" xfId="0" applyFont="1" applyBorder="1" applyAlignment="1">
      <alignment horizontal="right" vertical="center"/>
    </xf>
    <xf numFmtId="0" fontId="13" fillId="0" borderId="11" xfId="0" applyFont="1" applyBorder="1" applyAlignment="1">
      <alignment horizontal="right" vertical="center"/>
    </xf>
    <xf numFmtId="4" fontId="13" fillId="0" borderId="4" xfId="0" applyNumberFormat="1" applyFont="1" applyBorder="1" applyAlignment="1">
      <alignment horizontal="right" vertical="center"/>
    </xf>
    <xf numFmtId="4" fontId="13" fillId="0" borderId="0" xfId="0" applyNumberFormat="1" applyFont="1" applyAlignment="1">
      <alignment horizontal="right" vertical="center"/>
    </xf>
    <xf numFmtId="4" fontId="13" fillId="0" borderId="5" xfId="0" applyNumberFormat="1" applyFont="1" applyBorder="1" applyAlignment="1">
      <alignment horizontal="right"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3" fillId="0" borderId="2" xfId="0" applyFont="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7C3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ysClr val="windowText" lastClr="000000"/>
                </a:solidFill>
                <a:latin typeface="+mn-lt"/>
                <a:ea typeface="+mn-ea"/>
                <a:cs typeface="+mn-cs"/>
              </a:defRPr>
            </a:pPr>
            <a:r>
              <a:rPr lang="en-US"/>
              <a:t>Hotel Opening Revenue</a:t>
            </a:r>
          </a:p>
        </c:rich>
      </c:tx>
      <c:overlay val="0"/>
      <c:spPr>
        <a:noFill/>
        <a:ln>
          <a:noFill/>
        </a:ln>
        <a:effectLst/>
      </c:spPr>
      <c:txPr>
        <a:bodyPr rot="0" spcFirstLastPara="1" vertOverflow="ellipsis" vert="horz" wrap="square" anchor="ctr" anchorCtr="1"/>
        <a:lstStyle/>
        <a:p>
          <a:pPr>
            <a:defRPr sz="1800" b="1" i="0" u="none" strike="noStrike" kern="120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'Revenue and Margins'!$A$8</c:f>
              <c:strCache>
                <c:ptCount val="1"/>
                <c:pt idx="0">
                  <c:v>Room Revenue Growth</c:v>
                </c:pt>
              </c:strCache>
            </c:strRef>
          </c:tx>
          <c:spPr>
            <a:solidFill>
              <a:schemeClr val="accent1">
                <a:alpha val="85000"/>
              </a:schemeClr>
            </a:solidFill>
            <a:ln w="9525" cap="flat" cmpd="sng" algn="ctr">
              <a:solidFill>
                <a:schemeClr val="lt1">
                  <a:alpha val="50000"/>
                </a:schemeClr>
              </a:solidFill>
              <a:round/>
            </a:ln>
            <a:effectLst/>
          </c:spPr>
          <c:invertIfNegative val="0"/>
          <c:dLbls>
            <c:dLbl>
              <c:idx val="4"/>
              <c:numFmt formatCode="_(* #,##0_);_(* \(#,##0\);_(* &quot;-&quot;_);_(@_)" sourceLinked="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4-46F1-4F2B-948B-C566219F9A75}"/>
                </c:ext>
              </c:extLst>
            </c:dLbl>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Margins'!$R$8:$V$8</c:f>
              <c:numCache>
                <c:formatCode>_(* #,##0.00_);_(* \(#,##0.00\);_(* "-"??_);_(@_)</c:formatCode>
                <c:ptCount val="5"/>
                <c:pt idx="0">
                  <c:v>2200000</c:v>
                </c:pt>
                <c:pt idx="1">
                  <c:v>2200000</c:v>
                </c:pt>
                <c:pt idx="2">
                  <c:v>2200000</c:v>
                </c:pt>
                <c:pt idx="3">
                  <c:v>2200000</c:v>
                </c:pt>
                <c:pt idx="4">
                  <c:v>2200000</c:v>
                </c:pt>
              </c:numCache>
            </c:numRef>
          </c:val>
          <c:extLst>
            <c:ext xmlns:c16="http://schemas.microsoft.com/office/drawing/2014/chart" uri="{C3380CC4-5D6E-409C-BE32-E72D297353CC}">
              <c16:uniqueId val="{00000000-46F1-4F2B-948B-C566219F9A75}"/>
            </c:ext>
          </c:extLst>
        </c:ser>
        <c:ser>
          <c:idx val="1"/>
          <c:order val="1"/>
          <c:tx>
            <c:strRef>
              <c:f>'Revenue and Margins'!$A$9</c:f>
              <c:strCache>
                <c:ptCount val="1"/>
                <c:pt idx="0">
                  <c:v>Event Hosting Revenue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Margins'!$R$9:$V$9</c:f>
              <c:numCache>
                <c:formatCode>_(* #,##0.00_);_(* \(#,##0.00\);_(* "-"??_);_(@_)</c:formatCode>
                <c:ptCount val="5"/>
                <c:pt idx="0">
                  <c:v>150000</c:v>
                </c:pt>
                <c:pt idx="1">
                  <c:v>150000</c:v>
                </c:pt>
                <c:pt idx="2">
                  <c:v>150000</c:v>
                </c:pt>
                <c:pt idx="3">
                  <c:v>150000</c:v>
                </c:pt>
                <c:pt idx="4">
                  <c:v>150000</c:v>
                </c:pt>
              </c:numCache>
            </c:numRef>
          </c:val>
          <c:extLst>
            <c:ext xmlns:c16="http://schemas.microsoft.com/office/drawing/2014/chart" uri="{C3380CC4-5D6E-409C-BE32-E72D297353CC}">
              <c16:uniqueId val="{00000001-46F1-4F2B-948B-C566219F9A75}"/>
            </c:ext>
          </c:extLst>
        </c:ser>
        <c:ser>
          <c:idx val="2"/>
          <c:order val="2"/>
          <c:tx>
            <c:strRef>
              <c:f>'Revenue and Margins'!$A$10</c:f>
              <c:strCache>
                <c:ptCount val="1"/>
                <c:pt idx="0">
                  <c:v>Eco-Conscious Traveler Revenue</c:v>
                </c:pt>
              </c:strCache>
            </c:strRef>
          </c:tx>
          <c:spPr>
            <a:solidFill>
              <a:schemeClr val="accent3">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Margins'!$R$10:$V$10</c:f>
              <c:numCache>
                <c:formatCode>_(* #,##0.00_);_(* \(#,##0.00\);_(* "-"??_);_(@_)</c:formatCode>
                <c:ptCount val="5"/>
                <c:pt idx="0">
                  <c:v>500000</c:v>
                </c:pt>
                <c:pt idx="1">
                  <c:v>500000</c:v>
                </c:pt>
                <c:pt idx="2">
                  <c:v>500000</c:v>
                </c:pt>
                <c:pt idx="3">
                  <c:v>500000</c:v>
                </c:pt>
                <c:pt idx="4">
                  <c:v>500000</c:v>
                </c:pt>
              </c:numCache>
            </c:numRef>
          </c:val>
          <c:extLst>
            <c:ext xmlns:c16="http://schemas.microsoft.com/office/drawing/2014/chart" uri="{C3380CC4-5D6E-409C-BE32-E72D297353CC}">
              <c16:uniqueId val="{00000002-46F1-4F2B-948B-C566219F9A75}"/>
            </c:ext>
          </c:extLst>
        </c:ser>
        <c:ser>
          <c:idx val="3"/>
          <c:order val="3"/>
          <c:tx>
            <c:strRef>
              <c:f>'Revenue and Margins'!$A$11</c:f>
              <c:strCache>
                <c:ptCount val="1"/>
                <c:pt idx="0">
                  <c:v>Food &amp; Beverage</c:v>
                </c:pt>
              </c:strCache>
            </c:strRef>
          </c:tx>
          <c:spPr>
            <a:solidFill>
              <a:schemeClr val="accent4">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Margins'!$R$11:$V$11</c:f>
              <c:numCache>
                <c:formatCode>_(* #,##0.00_);_(* \(#,##0.00\);_(* "-"??_);_(@_)</c:formatCode>
                <c:ptCount val="5"/>
                <c:pt idx="0">
                  <c:v>187500</c:v>
                </c:pt>
                <c:pt idx="1">
                  <c:v>187500</c:v>
                </c:pt>
                <c:pt idx="2">
                  <c:v>187500</c:v>
                </c:pt>
                <c:pt idx="3">
                  <c:v>187500</c:v>
                </c:pt>
                <c:pt idx="4">
                  <c:v>187500</c:v>
                </c:pt>
              </c:numCache>
            </c:numRef>
          </c:val>
          <c:extLst>
            <c:ext xmlns:c16="http://schemas.microsoft.com/office/drawing/2014/chart" uri="{C3380CC4-5D6E-409C-BE32-E72D297353CC}">
              <c16:uniqueId val="{00000003-46F1-4F2B-948B-C566219F9A75}"/>
            </c:ext>
          </c:extLst>
        </c:ser>
        <c:dLbls>
          <c:dLblPos val="inEnd"/>
          <c:showLegendKey val="0"/>
          <c:showVal val="1"/>
          <c:showCatName val="0"/>
          <c:showSerName val="0"/>
          <c:showPercent val="0"/>
          <c:showBubbleSize val="0"/>
        </c:dLbls>
        <c:gapWidth val="65"/>
        <c:axId val="852346623"/>
        <c:axId val="852347103"/>
      </c:barChart>
      <c:catAx>
        <c:axId val="85234662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ysClr val="windowText" lastClr="000000"/>
                </a:solidFill>
                <a:latin typeface="+mn-lt"/>
                <a:ea typeface="+mn-ea"/>
                <a:cs typeface="+mn-cs"/>
              </a:defRPr>
            </a:pPr>
            <a:endParaRPr lang="en-US"/>
          </a:p>
        </c:txPr>
        <c:crossAx val="852347103"/>
        <c:crosses val="autoZero"/>
        <c:auto val="1"/>
        <c:lblAlgn val="ctr"/>
        <c:lblOffset val="100"/>
        <c:noMultiLvlLbl val="0"/>
      </c:catAx>
      <c:valAx>
        <c:axId val="85234710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00_);_(* \(#,##0.00\);_(* &quot;-&quot;??_);_(@_)" sourceLinked="1"/>
        <c:majorTickMark val="none"/>
        <c:minorTickMark val="none"/>
        <c:tickLblPos val="nextTo"/>
        <c:crossAx val="8523466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Balima Expansion Revenues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'Revenue and Margins'!$A$25</c:f>
              <c:strCache>
                <c:ptCount val="1"/>
                <c:pt idx="0">
                  <c:v>Marrakech Expansion Revenue</c:v>
                </c:pt>
              </c:strCache>
            </c:strRef>
          </c:tx>
          <c:spPr>
            <a:ln w="31750" cap="rnd">
              <a:solidFill>
                <a:schemeClr val="accent1">
                  <a:lumMod val="40000"/>
                  <a:lumOff val="60000"/>
                </a:schemeClr>
              </a:solidFill>
              <a:round/>
            </a:ln>
            <a:effectLst/>
          </c:spPr>
          <c:marker>
            <c:symbol val="circle"/>
            <c:size val="17"/>
            <c:spPr>
              <a:solidFill>
                <a:schemeClr val="accent1">
                  <a:lumMod val="60000"/>
                  <a:lumOff val="40000"/>
                </a:schemeClr>
              </a:solidFill>
              <a:ln>
                <a:noFill/>
              </a:ln>
              <a:effectLst/>
            </c:spPr>
          </c:marker>
          <c:cat>
            <c:numRef>
              <c:f>'Revenue and Margins'!$R$4:$V$4</c:f>
              <c:numCache>
                <c:formatCode>General</c:formatCode>
                <c:ptCount val="5"/>
                <c:pt idx="0">
                  <c:v>2025</c:v>
                </c:pt>
                <c:pt idx="1">
                  <c:v>2026</c:v>
                </c:pt>
                <c:pt idx="2">
                  <c:v>2027</c:v>
                </c:pt>
                <c:pt idx="3">
                  <c:v>2028</c:v>
                </c:pt>
                <c:pt idx="4">
                  <c:v>2029</c:v>
                </c:pt>
              </c:numCache>
            </c:numRef>
          </c:cat>
          <c:val>
            <c:numRef>
              <c:f>'Revenue and Margins'!$R$25:$V$25</c:f>
              <c:numCache>
                <c:formatCode>_(* #,##0.00_);_(* \(#,##0.00\);_(* "-"??_);_(@_)</c:formatCode>
                <c:ptCount val="5"/>
                <c:pt idx="0">
                  <c:v>3440000</c:v>
                </c:pt>
                <c:pt idx="1">
                  <c:v>6870000</c:v>
                </c:pt>
                <c:pt idx="2">
                  <c:v>7728750</c:v>
                </c:pt>
                <c:pt idx="3">
                  <c:v>8694843.75</c:v>
                </c:pt>
                <c:pt idx="4">
                  <c:v>9781699.21875</c:v>
                </c:pt>
              </c:numCache>
            </c:numRef>
          </c:val>
          <c:smooth val="0"/>
          <c:extLst>
            <c:ext xmlns:c16="http://schemas.microsoft.com/office/drawing/2014/chart" uri="{C3380CC4-5D6E-409C-BE32-E72D297353CC}">
              <c16:uniqueId val="{00000000-C835-4820-93BD-22ACBC999220}"/>
            </c:ext>
          </c:extLst>
        </c:ser>
        <c:ser>
          <c:idx val="1"/>
          <c:order val="1"/>
          <c:tx>
            <c:strRef>
              <c:f>'Revenue and Margins'!$A$29</c:f>
              <c:strCache>
                <c:ptCount val="1"/>
                <c:pt idx="0">
                  <c:v>Casablanca Expansion Revenue</c:v>
                </c:pt>
              </c:strCache>
            </c:strRef>
          </c:tx>
          <c:spPr>
            <a:ln w="31750" cap="rnd">
              <a:solidFill>
                <a:schemeClr val="tx2">
                  <a:lumMod val="90000"/>
                  <a:lumOff val="10000"/>
                </a:schemeClr>
              </a:solidFill>
              <a:round/>
            </a:ln>
            <a:effectLst/>
          </c:spPr>
          <c:marker>
            <c:symbol val="circle"/>
            <c:size val="17"/>
            <c:spPr>
              <a:solidFill>
                <a:schemeClr val="tx2">
                  <a:lumMod val="75000"/>
                  <a:lumOff val="25000"/>
                </a:schemeClr>
              </a:solidFill>
              <a:ln>
                <a:noFill/>
              </a:ln>
              <a:effectLst/>
            </c:spPr>
          </c:marker>
          <c:cat>
            <c:numRef>
              <c:f>'Revenue and Margins'!$R$4:$V$4</c:f>
              <c:numCache>
                <c:formatCode>General</c:formatCode>
                <c:ptCount val="5"/>
                <c:pt idx="0">
                  <c:v>2025</c:v>
                </c:pt>
                <c:pt idx="1">
                  <c:v>2026</c:v>
                </c:pt>
                <c:pt idx="2">
                  <c:v>2027</c:v>
                </c:pt>
                <c:pt idx="3">
                  <c:v>2028</c:v>
                </c:pt>
                <c:pt idx="4">
                  <c:v>2029</c:v>
                </c:pt>
              </c:numCache>
            </c:numRef>
          </c:cat>
          <c:val>
            <c:numRef>
              <c:f>'Revenue and Margins'!$R$29:$V$29</c:f>
              <c:numCache>
                <c:formatCode>_(* #,##0.00_);_(* \(#,##0.00\);_(* "-"??_);_(@_)</c:formatCode>
                <c:ptCount val="5"/>
                <c:pt idx="0">
                  <c:v>500400</c:v>
                </c:pt>
                <c:pt idx="1">
                  <c:v>2185200.7999999998</c:v>
                </c:pt>
                <c:pt idx="2">
                  <c:v>2189571.2016000003</c:v>
                </c:pt>
                <c:pt idx="3">
                  <c:v>2193950.3440032001</c:v>
                </c:pt>
                <c:pt idx="4">
                  <c:v>2198338.2446912061</c:v>
                </c:pt>
              </c:numCache>
            </c:numRef>
          </c:val>
          <c:smooth val="0"/>
          <c:extLst>
            <c:ext xmlns:c16="http://schemas.microsoft.com/office/drawing/2014/chart" uri="{C3380CC4-5D6E-409C-BE32-E72D297353CC}">
              <c16:uniqueId val="{00000001-C835-4820-93BD-22ACBC999220}"/>
            </c:ext>
          </c:extLst>
        </c:ser>
        <c:dLbls>
          <c:showLegendKey val="0"/>
          <c:showVal val="0"/>
          <c:showCatName val="0"/>
          <c:showSerName val="0"/>
          <c:showPercent val="0"/>
          <c:showBubbleSize val="0"/>
        </c:dLbls>
        <c:marker val="1"/>
        <c:smooth val="0"/>
        <c:axId val="925843744"/>
        <c:axId val="925839424"/>
      </c:lineChart>
      <c:lineChart>
        <c:grouping val="standard"/>
        <c:varyColors val="0"/>
        <c:ser>
          <c:idx val="2"/>
          <c:order val="2"/>
          <c:tx>
            <c:strRef>
              <c:f>'Revenue and Margins'!$A$33</c:f>
              <c:strCache>
                <c:ptCount val="1"/>
                <c:pt idx="0">
                  <c:v>Marketing Revenue </c:v>
                </c:pt>
              </c:strCache>
            </c:strRef>
          </c:tx>
          <c:spPr>
            <a:ln w="31750" cap="rnd">
              <a:solidFill>
                <a:schemeClr val="accent2"/>
              </a:solidFill>
              <a:round/>
            </a:ln>
            <a:effectLst/>
          </c:spPr>
          <c:marker>
            <c:symbol val="circle"/>
            <c:size val="17"/>
            <c:spPr>
              <a:solidFill>
                <a:schemeClr val="accent2"/>
              </a:solidFill>
              <a:ln>
                <a:noFill/>
              </a:ln>
              <a:effectLst/>
            </c:spPr>
          </c:marker>
          <c:val>
            <c:numRef>
              <c:f>'Revenue and Margins'!$R$33:$V$33</c:f>
              <c:numCache>
                <c:formatCode>_(* #,##0.00_);_(* \(#,##0.00\);_(* "-"??_);_(@_)</c:formatCode>
                <c:ptCount val="5"/>
                <c:pt idx="0">
                  <c:v>2506759.7056967681</c:v>
                </c:pt>
                <c:pt idx="1">
                  <c:v>2536434.6476312657</c:v>
                </c:pt>
                <c:pt idx="2">
                  <c:v>2566109.5895657628</c:v>
                </c:pt>
                <c:pt idx="3">
                  <c:v>2595784.5315002608</c:v>
                </c:pt>
                <c:pt idx="4">
                  <c:v>2625459.4734347588</c:v>
                </c:pt>
              </c:numCache>
            </c:numRef>
          </c:val>
          <c:smooth val="0"/>
          <c:extLst>
            <c:ext xmlns:c16="http://schemas.microsoft.com/office/drawing/2014/chart" uri="{C3380CC4-5D6E-409C-BE32-E72D297353CC}">
              <c16:uniqueId val="{00000002-C835-4820-93BD-22ACBC999220}"/>
            </c:ext>
          </c:extLst>
        </c:ser>
        <c:ser>
          <c:idx val="3"/>
          <c:order val="3"/>
          <c:tx>
            <c:strRef>
              <c:f>'Revenue and Margins'!$A$34</c:f>
              <c:strCache>
                <c:ptCount val="1"/>
                <c:pt idx="0">
                  <c:v>Staffing and Training Revenue</c:v>
                </c:pt>
              </c:strCache>
            </c:strRef>
          </c:tx>
          <c:spPr>
            <a:ln w="31750" cap="rnd">
              <a:solidFill>
                <a:schemeClr val="accent2">
                  <a:lumMod val="60000"/>
                </a:schemeClr>
              </a:solidFill>
              <a:round/>
            </a:ln>
            <a:effectLst/>
          </c:spPr>
          <c:marker>
            <c:symbol val="circle"/>
            <c:size val="17"/>
            <c:spPr>
              <a:solidFill>
                <a:schemeClr val="accent2">
                  <a:lumMod val="60000"/>
                </a:schemeClr>
              </a:solidFill>
              <a:ln>
                <a:noFill/>
              </a:ln>
              <a:effectLst/>
            </c:spPr>
          </c:marker>
          <c:val>
            <c:numRef>
              <c:f>'Revenue and Margins'!$R$34:$V$34</c:f>
              <c:numCache>
                <c:formatCode>_(* #,##0.00_);_(* \(#,##0.00\);_(* "-"??_);_(@_)</c:formatCode>
                <c:ptCount val="5"/>
                <c:pt idx="0">
                  <c:v>1139436.2298621673</c:v>
                </c:pt>
                <c:pt idx="1">
                  <c:v>1152924.8398323935</c:v>
                </c:pt>
                <c:pt idx="2">
                  <c:v>1166413.4498026194</c:v>
                </c:pt>
                <c:pt idx="3">
                  <c:v>1179902.0597728458</c:v>
                </c:pt>
                <c:pt idx="4">
                  <c:v>1193390.669743072</c:v>
                </c:pt>
              </c:numCache>
            </c:numRef>
          </c:val>
          <c:smooth val="0"/>
          <c:extLst>
            <c:ext xmlns:c16="http://schemas.microsoft.com/office/drawing/2014/chart" uri="{C3380CC4-5D6E-409C-BE32-E72D297353CC}">
              <c16:uniqueId val="{00000003-C835-4820-93BD-22ACBC999220}"/>
            </c:ext>
          </c:extLst>
        </c:ser>
        <c:ser>
          <c:idx val="4"/>
          <c:order val="4"/>
          <c:tx>
            <c:strRef>
              <c:f>'Revenue and Margins'!$A$35</c:f>
              <c:strCache>
                <c:ptCount val="1"/>
                <c:pt idx="0">
                  <c:v>Technology Investment Revenue</c:v>
                </c:pt>
              </c:strCache>
            </c:strRef>
          </c:tx>
          <c:spPr>
            <a:ln w="31750" cap="rnd">
              <a:solidFill>
                <a:schemeClr val="accent2">
                  <a:lumMod val="60000"/>
                  <a:lumOff val="40000"/>
                </a:schemeClr>
              </a:solidFill>
              <a:round/>
            </a:ln>
            <a:effectLst/>
          </c:spPr>
          <c:marker>
            <c:symbol val="circle"/>
            <c:size val="17"/>
            <c:spPr>
              <a:solidFill>
                <a:schemeClr val="accent2">
                  <a:lumMod val="60000"/>
                  <a:lumOff val="40000"/>
                </a:schemeClr>
              </a:solidFill>
              <a:ln>
                <a:noFill/>
              </a:ln>
              <a:effectLst/>
            </c:spPr>
          </c:marker>
          <c:val>
            <c:numRef>
              <c:f>'Revenue and Margins'!$R$35:$V$35</c:f>
              <c:numCache>
                <c:formatCode>_(* #,##0.00_);_(* \(#,##0.00\);_(* "-"??_);_(@_)</c:formatCode>
                <c:ptCount val="5"/>
                <c:pt idx="0">
                  <c:v>911548.98388973391</c:v>
                </c:pt>
                <c:pt idx="1">
                  <c:v>922339.87186591479</c:v>
                </c:pt>
                <c:pt idx="2">
                  <c:v>933130.75984209555</c:v>
                </c:pt>
                <c:pt idx="3">
                  <c:v>943921.64781827666</c:v>
                </c:pt>
                <c:pt idx="4">
                  <c:v>954712.53579445765</c:v>
                </c:pt>
              </c:numCache>
            </c:numRef>
          </c:val>
          <c:smooth val="0"/>
          <c:extLst>
            <c:ext xmlns:c16="http://schemas.microsoft.com/office/drawing/2014/chart" uri="{C3380CC4-5D6E-409C-BE32-E72D297353CC}">
              <c16:uniqueId val="{00000004-C835-4820-93BD-22ACBC999220}"/>
            </c:ext>
          </c:extLst>
        </c:ser>
        <c:ser>
          <c:idx val="5"/>
          <c:order val="5"/>
          <c:tx>
            <c:strRef>
              <c:f>'Revenue and Margins'!$A$36</c:f>
              <c:strCache>
                <c:ptCount val="1"/>
                <c:pt idx="0">
                  <c:v>Sustainability practices Revenue</c:v>
                </c:pt>
              </c:strCache>
            </c:strRef>
          </c:tx>
          <c:spPr>
            <a:ln w="31750" cap="rnd">
              <a:solidFill>
                <a:schemeClr val="accent2">
                  <a:lumMod val="20000"/>
                  <a:lumOff val="80000"/>
                </a:schemeClr>
              </a:solidFill>
              <a:round/>
            </a:ln>
            <a:effectLst/>
          </c:spPr>
          <c:marker>
            <c:symbol val="circle"/>
            <c:size val="17"/>
            <c:spPr>
              <a:solidFill>
                <a:schemeClr val="accent2">
                  <a:lumMod val="20000"/>
                  <a:lumOff val="80000"/>
                </a:schemeClr>
              </a:solidFill>
              <a:ln>
                <a:noFill/>
              </a:ln>
              <a:effectLst/>
            </c:spPr>
          </c:marker>
          <c:val>
            <c:numRef>
              <c:f>'Revenue and Margins'!$R$36:$V$36</c:f>
              <c:numCache>
                <c:formatCode>_(* #,##0.00_);_(* \(#,##0.00\);_(* "-"??_);_(@_)</c:formatCode>
                <c:ptCount val="5"/>
                <c:pt idx="0">
                  <c:v>683661.73791730031</c:v>
                </c:pt>
                <c:pt idx="1">
                  <c:v>691754.903899436</c:v>
                </c:pt>
                <c:pt idx="2">
                  <c:v>699848.06988157157</c:v>
                </c:pt>
                <c:pt idx="3">
                  <c:v>707941.23586370749</c:v>
                </c:pt>
                <c:pt idx="4">
                  <c:v>716034.40184584318</c:v>
                </c:pt>
              </c:numCache>
            </c:numRef>
          </c:val>
          <c:smooth val="0"/>
          <c:extLst>
            <c:ext xmlns:c16="http://schemas.microsoft.com/office/drawing/2014/chart" uri="{C3380CC4-5D6E-409C-BE32-E72D297353CC}">
              <c16:uniqueId val="{00000005-C835-4820-93BD-22ACBC999220}"/>
            </c:ext>
          </c:extLst>
        </c:ser>
        <c:dLbls>
          <c:showLegendKey val="0"/>
          <c:showVal val="0"/>
          <c:showCatName val="0"/>
          <c:showSerName val="0"/>
          <c:showPercent val="0"/>
          <c:showBubbleSize val="0"/>
        </c:dLbls>
        <c:marker val="1"/>
        <c:smooth val="0"/>
        <c:axId val="925866304"/>
        <c:axId val="925864864"/>
      </c:lineChart>
      <c:catAx>
        <c:axId val="9258437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25839424"/>
        <c:crosses val="autoZero"/>
        <c:auto val="1"/>
        <c:lblAlgn val="ctr"/>
        <c:lblOffset val="100"/>
        <c:noMultiLvlLbl val="0"/>
      </c:catAx>
      <c:valAx>
        <c:axId val="92583942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Exploitation</a:t>
                </a:r>
                <a:r>
                  <a:rPr lang="en-US" baseline="0"/>
                  <a:t> </a:t>
                </a:r>
                <a:r>
                  <a:rPr lang="en-US"/>
                  <a:t> Revenues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 #,##0_);_(* \(#,##0\);_(* &quot;-&quot;_);_(@_)" sourceLinked="0"/>
        <c:majorTickMark val="out"/>
        <c:minorTickMark val="none"/>
        <c:tickLblPos val="nextTo"/>
        <c:spPr>
          <a:solidFill>
            <a:schemeClr val="accent2">
              <a:lumMod val="20000"/>
              <a:lumOff val="80000"/>
            </a:schemeClr>
          </a:solid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25843744"/>
        <c:crosses val="autoZero"/>
        <c:crossBetween val="between"/>
      </c:valAx>
      <c:valAx>
        <c:axId val="925864864"/>
        <c:scaling>
          <c:orientation val="minMax"/>
        </c:scaling>
        <c:delete val="0"/>
        <c:axPos val="r"/>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Acquisition</a:t>
                </a:r>
                <a:r>
                  <a:rPr lang="en-US" baseline="0"/>
                  <a:t> </a:t>
                </a:r>
                <a:r>
                  <a:rPr lang="en-US"/>
                  <a:t> Revenues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 #,##0_);_(* \(#,##0\);_(* &quot;-&quot;_);_(@_)" sourceLinked="0"/>
        <c:majorTickMark val="out"/>
        <c:minorTickMark val="none"/>
        <c:tickLblPos val="nextTo"/>
        <c:spPr>
          <a:solidFill>
            <a:schemeClr val="accent1">
              <a:lumMod val="20000"/>
              <a:lumOff val="80000"/>
            </a:schemeClr>
          </a:solid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25866304"/>
        <c:crosses val="max"/>
        <c:crossBetween val="between"/>
      </c:valAx>
      <c:catAx>
        <c:axId val="925866304"/>
        <c:scaling>
          <c:orientation val="minMax"/>
        </c:scaling>
        <c:delete val="1"/>
        <c:axPos val="b"/>
        <c:majorTickMark val="out"/>
        <c:minorTickMark val="none"/>
        <c:tickLblPos val="nextTo"/>
        <c:crossAx val="925864864"/>
        <c:crosses val="autoZero"/>
        <c:auto val="1"/>
        <c:lblAlgn val="ctr"/>
        <c:lblOffset val="100"/>
        <c:noMultiLvlLbl val="0"/>
      </c:cat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a:t>Marrakech Revenues by products </a:t>
            </a:r>
          </a:p>
        </c:rich>
      </c:tx>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autoTitleDeleted val="0"/>
    <c:plotArea>
      <c:layout/>
      <c:barChart>
        <c:barDir val="col"/>
        <c:grouping val="percentStacked"/>
        <c:varyColors val="0"/>
        <c:ser>
          <c:idx val="0"/>
          <c:order val="0"/>
          <c:tx>
            <c:strRef>
              <c:f>'Revenue and Margins'!$A$26</c:f>
              <c:strCache>
                <c:ptCount val="1"/>
                <c:pt idx="0">
                  <c:v>Modern Appartments</c:v>
                </c:pt>
              </c:strCache>
            </c:strRef>
          </c:tx>
          <c:spPr>
            <a:solidFill>
              <a:schemeClr val="accent2">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Margins'!$R$26:$V$26</c:f>
              <c:numCache>
                <c:formatCode>_(* #,##0.00_);_(* \(#,##0.00\);_(* "-"??_);_(@_)</c:formatCode>
                <c:ptCount val="5"/>
                <c:pt idx="0">
                  <c:v>2000000</c:v>
                </c:pt>
                <c:pt idx="1">
                  <c:v>2250000</c:v>
                </c:pt>
                <c:pt idx="2">
                  <c:v>2531250</c:v>
                </c:pt>
                <c:pt idx="3">
                  <c:v>2847656.25</c:v>
                </c:pt>
                <c:pt idx="4">
                  <c:v>3203613.28125</c:v>
                </c:pt>
              </c:numCache>
            </c:numRef>
          </c:val>
          <c:extLst>
            <c:ext xmlns:c16="http://schemas.microsoft.com/office/drawing/2014/chart" uri="{C3380CC4-5D6E-409C-BE32-E72D297353CC}">
              <c16:uniqueId val="{00000000-3A82-4DC2-9FD1-87CEC5EAD645}"/>
            </c:ext>
          </c:extLst>
        </c:ser>
        <c:ser>
          <c:idx val="1"/>
          <c:order val="1"/>
          <c:tx>
            <c:strRef>
              <c:f>'Revenue and Margins'!$A$27</c:f>
              <c:strCache>
                <c:ptCount val="1"/>
                <c:pt idx="0">
                  <c:v>Villas</c:v>
                </c:pt>
              </c:strCache>
            </c:strRef>
          </c:tx>
          <c:spPr>
            <a:solidFill>
              <a:schemeClr val="accent4">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Margins'!$R$27:$V$27</c:f>
              <c:numCache>
                <c:formatCode>_(* #,##0.00_);_(* \(#,##0.00\);_(* "-"??_);_(@_)</c:formatCode>
                <c:ptCount val="5"/>
                <c:pt idx="0">
                  <c:v>1440000</c:v>
                </c:pt>
                <c:pt idx="1">
                  <c:v>1620000</c:v>
                </c:pt>
                <c:pt idx="2">
                  <c:v>1822500</c:v>
                </c:pt>
                <c:pt idx="3">
                  <c:v>2050312.5</c:v>
                </c:pt>
                <c:pt idx="4">
                  <c:v>2306601.5625</c:v>
                </c:pt>
              </c:numCache>
            </c:numRef>
          </c:val>
          <c:extLst>
            <c:ext xmlns:c16="http://schemas.microsoft.com/office/drawing/2014/chart" uri="{C3380CC4-5D6E-409C-BE32-E72D297353CC}">
              <c16:uniqueId val="{00000001-3A82-4DC2-9FD1-87CEC5EAD645}"/>
            </c:ext>
          </c:extLst>
        </c:ser>
        <c:ser>
          <c:idx val="2"/>
          <c:order val="2"/>
          <c:tx>
            <c:strRef>
              <c:f>'Revenue and Margins'!$A$28</c:f>
              <c:strCache>
                <c:ptCount val="1"/>
                <c:pt idx="0">
                  <c:v>Luxury Properties</c:v>
                </c:pt>
              </c:strCache>
            </c:strRef>
          </c:tx>
          <c:spPr>
            <a:solidFill>
              <a:schemeClr val="accent6">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Margins'!$R$28:$V$28</c:f>
              <c:numCache>
                <c:formatCode>_(* #,##0.00_);_(* \(#,##0.00\);_(* "-"??_);_(@_)</c:formatCode>
                <c:ptCount val="5"/>
                <c:pt idx="0">
                  <c:v>0</c:v>
                </c:pt>
                <c:pt idx="1">
                  <c:v>3000000</c:v>
                </c:pt>
                <c:pt idx="2">
                  <c:v>3375000</c:v>
                </c:pt>
                <c:pt idx="3">
                  <c:v>3796875</c:v>
                </c:pt>
                <c:pt idx="4">
                  <c:v>4271484.375</c:v>
                </c:pt>
              </c:numCache>
            </c:numRef>
          </c:val>
          <c:extLst>
            <c:ext xmlns:c16="http://schemas.microsoft.com/office/drawing/2014/chart" uri="{C3380CC4-5D6E-409C-BE32-E72D297353CC}">
              <c16:uniqueId val="{00000002-3A82-4DC2-9FD1-87CEC5EAD645}"/>
            </c:ext>
          </c:extLst>
        </c:ser>
        <c:dLbls>
          <c:dLblPos val="ctr"/>
          <c:showLegendKey val="0"/>
          <c:showVal val="1"/>
          <c:showCatName val="0"/>
          <c:showSerName val="0"/>
          <c:showPercent val="0"/>
          <c:showBubbleSize val="0"/>
        </c:dLbls>
        <c:gapWidth val="150"/>
        <c:overlap val="100"/>
        <c:axId val="973384064"/>
        <c:axId val="973378304"/>
      </c:barChart>
      <c:catAx>
        <c:axId val="9733840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0" i="0" u="none" strike="noStrike" kern="1200" cap="all" baseline="0">
                <a:solidFill>
                  <a:sysClr val="windowText" lastClr="000000"/>
                </a:solidFill>
                <a:latin typeface="+mn-lt"/>
                <a:ea typeface="+mn-ea"/>
                <a:cs typeface="+mn-cs"/>
              </a:defRPr>
            </a:pPr>
            <a:endParaRPr lang="en-US"/>
          </a:p>
        </c:txPr>
        <c:crossAx val="973378304"/>
        <c:crosses val="autoZero"/>
        <c:auto val="1"/>
        <c:lblAlgn val="ctr"/>
        <c:lblOffset val="100"/>
        <c:noMultiLvlLbl val="0"/>
      </c:catAx>
      <c:valAx>
        <c:axId val="97337830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97338406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baseline="0">
                <a:solidFill>
                  <a:sysClr val="windowText" lastClr="000000"/>
                </a:solidFill>
                <a:latin typeface="+mn-lt"/>
                <a:ea typeface="+mn-ea"/>
                <a:cs typeface="+mn-cs"/>
              </a:defRPr>
            </a:pPr>
            <a:r>
              <a:rPr lang="en-US"/>
              <a:t>Revenues by Strategies</a:t>
            </a:r>
          </a:p>
        </c:rich>
      </c:tx>
      <c:overlay val="0"/>
      <c:spPr>
        <a:noFill/>
        <a:ln>
          <a:noFill/>
        </a:ln>
        <a:effectLst/>
      </c:spPr>
      <c:txPr>
        <a:bodyPr rot="0" spcFirstLastPara="1" vertOverflow="ellipsis" vert="horz" wrap="square" anchor="ctr" anchorCtr="1"/>
        <a:lstStyle/>
        <a:p>
          <a:pPr>
            <a:defRPr sz="1260" b="1" i="0" u="none" strike="noStrike" kern="1200" baseline="0">
              <a:solidFill>
                <a:sysClr val="windowText" lastClr="000000"/>
              </a:solidFill>
              <a:latin typeface="+mn-lt"/>
              <a:ea typeface="+mn-ea"/>
              <a:cs typeface="+mn-cs"/>
            </a:defRPr>
          </a:pPr>
          <a:endParaRPr lang="en-US"/>
        </a:p>
      </c:txPr>
    </c:title>
    <c:autoTitleDeleted val="0"/>
    <c:plotArea>
      <c:layout/>
      <c:barChart>
        <c:barDir val="bar"/>
        <c:grouping val="stacked"/>
        <c:varyColors val="0"/>
        <c:ser>
          <c:idx val="0"/>
          <c:order val="0"/>
          <c:tx>
            <c:strRef>
              <c:f>'Revenue and Margins'!$A$6</c:f>
              <c:strCache>
                <c:ptCount val="1"/>
                <c:pt idx="0">
                  <c:v>Hotel CA</c:v>
                </c:pt>
              </c:strCache>
            </c:strRef>
          </c:tx>
          <c:spPr>
            <a:solidFill>
              <a:schemeClr val="accent1">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Margins'!$R$6:$V$6</c:f>
              <c:numCache>
                <c:formatCode>_(* #,##0.00_);_(* \(#,##0.00\);_(* "-"??_);_(@_)</c:formatCode>
                <c:ptCount val="5"/>
                <c:pt idx="0">
                  <c:v>11965489.838897338</c:v>
                </c:pt>
                <c:pt idx="1">
                  <c:v>12073398.718659148</c:v>
                </c:pt>
                <c:pt idx="2">
                  <c:v>12181307.598420955</c:v>
                </c:pt>
                <c:pt idx="3">
                  <c:v>12289216.478182767</c:v>
                </c:pt>
                <c:pt idx="4">
                  <c:v>12397125.357944576</c:v>
                </c:pt>
              </c:numCache>
            </c:numRef>
          </c:val>
          <c:extLst>
            <c:ext xmlns:c16="http://schemas.microsoft.com/office/drawing/2014/chart" uri="{C3380CC4-5D6E-409C-BE32-E72D297353CC}">
              <c16:uniqueId val="{00000000-4DC4-4416-B5AF-0281234A6AFD}"/>
            </c:ext>
          </c:extLst>
        </c:ser>
        <c:ser>
          <c:idx val="1"/>
          <c:order val="1"/>
          <c:tx>
            <c:strRef>
              <c:f>'Revenue and Margins'!$A$21</c:f>
              <c:strCache>
                <c:ptCount val="1"/>
                <c:pt idx="0">
                  <c:v>Expansion CA</c:v>
                </c:pt>
              </c:strCache>
            </c:strRef>
          </c:tx>
          <c:spPr>
            <a:solidFill>
              <a:schemeClr val="accent2">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Margins'!$R$21:$V$21</c:f>
              <c:numCache>
                <c:formatCode>_(* #,##0.00_);_(* \(#,##0.00\);_(* "-"??_);_(@_)</c:formatCode>
                <c:ptCount val="5"/>
                <c:pt idx="0">
                  <c:v>26678126.8168642</c:v>
                </c:pt>
                <c:pt idx="1">
                  <c:v>32077784.373652194</c:v>
                </c:pt>
                <c:pt idx="2">
                  <c:v>33225761.532040186</c:v>
                </c:pt>
                <c:pt idx="3">
                  <c:v>34481091.181231387</c:v>
                </c:pt>
                <c:pt idx="4">
                  <c:v>35857191.307457387</c:v>
                </c:pt>
              </c:numCache>
            </c:numRef>
          </c:val>
          <c:extLst>
            <c:ext xmlns:c16="http://schemas.microsoft.com/office/drawing/2014/chart" uri="{C3380CC4-5D6E-409C-BE32-E72D297353CC}">
              <c16:uniqueId val="{00000001-4DC4-4416-B5AF-0281234A6AFD}"/>
            </c:ext>
          </c:extLst>
        </c:ser>
        <c:ser>
          <c:idx val="2"/>
          <c:order val="2"/>
          <c:tx>
            <c:strRef>
              <c:f>'Revenue and Margins'!$A$41</c:f>
              <c:strCache>
                <c:ptCount val="1"/>
                <c:pt idx="0">
                  <c:v>Sustainability Revenue</c:v>
                </c:pt>
              </c:strCache>
            </c:strRef>
          </c:tx>
          <c:spPr>
            <a:solidFill>
              <a:schemeClr val="accent3">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Margins'!$R$41:$V$41</c:f>
              <c:numCache>
                <c:formatCode>_(* #,##0.00_);_(* \(#,##0.00\);_(* "-"??_);_(@_)</c:formatCode>
                <c:ptCount val="5"/>
                <c:pt idx="0">
                  <c:v>8007322.6026292657</c:v>
                </c:pt>
                <c:pt idx="1">
                  <c:v>8074967.4242662434</c:v>
                </c:pt>
                <c:pt idx="2">
                  <c:v>8142491.3414904019</c:v>
                </c:pt>
                <c:pt idx="3">
                  <c:v>8209897.5392061155</c:v>
                </c:pt>
                <c:pt idx="4">
                  <c:v>7652729.987816155</c:v>
                </c:pt>
              </c:numCache>
            </c:numRef>
          </c:val>
          <c:extLst>
            <c:ext xmlns:c16="http://schemas.microsoft.com/office/drawing/2014/chart" uri="{C3380CC4-5D6E-409C-BE32-E72D297353CC}">
              <c16:uniqueId val="{00000002-4DC4-4416-B5AF-0281234A6AFD}"/>
            </c:ext>
          </c:extLst>
        </c:ser>
        <c:ser>
          <c:idx val="3"/>
          <c:order val="3"/>
          <c:tx>
            <c:strRef>
              <c:f>'Revenue and Margins'!$A$55</c:f>
              <c:strCache>
                <c:ptCount val="1"/>
                <c:pt idx="0">
                  <c:v>Marketing Revenue</c:v>
                </c:pt>
              </c:strCache>
            </c:strRef>
          </c:tx>
          <c:spPr>
            <a:solidFill>
              <a:schemeClr val="accent4">
                <a:alpha val="85000"/>
              </a:schemeClr>
            </a:solidFill>
            <a:ln w="9525" cap="flat" cmpd="sng" algn="ctr">
              <a:solidFill>
                <a:schemeClr val="lt1">
                  <a:alpha val="50000"/>
                </a:schemeClr>
              </a:solidFill>
              <a:round/>
            </a:ln>
            <a:effectLst/>
          </c:spPr>
          <c:invertIfNegative val="0"/>
          <c:dLbls>
            <c:dLbl>
              <c:idx val="0"/>
              <c:layout>
                <c:manualLayout>
                  <c:x val="9.6113065290980002E-2"/>
                  <c:y val="3.493347816107481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DC4-4416-B5AF-0281234A6AFD}"/>
                </c:ext>
              </c:extLst>
            </c:dLbl>
            <c:dLbl>
              <c:idx val="1"/>
              <c:layout>
                <c:manualLayout>
                  <c:x val="6.2740473176056355E-2"/>
                  <c:y val="4.657797088143294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DC4-4416-B5AF-0281234A6AFD}"/>
                </c:ext>
              </c:extLst>
            </c:dLbl>
            <c:dLbl>
              <c:idx val="2"/>
              <c:layout>
                <c:manualLayout>
                  <c:x val="7.3419702652831917E-2"/>
                  <c:y val="7.37484538956023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DC4-4416-B5AF-0281234A6AFD}"/>
                </c:ext>
              </c:extLst>
            </c:dLbl>
            <c:dLbl>
              <c:idx val="3"/>
              <c:layout>
                <c:manualLayout>
                  <c:x val="2.8032977376535765E-2"/>
                  <c:y val="8.539294661596065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DC4-4416-B5AF-0281234A6AFD}"/>
                </c:ext>
              </c:extLst>
            </c:dLbl>
            <c:dLbl>
              <c:idx val="4"/>
              <c:layout>
                <c:manualLayout>
                  <c:x val="4.2716917907102171E-2"/>
                  <c:y val="5.045946845488581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DC4-4416-B5AF-0281234A6AFD}"/>
                </c:ext>
              </c:extLst>
            </c:dLbl>
            <c:numFmt formatCode="_(* #,##0_);_(* \(#,##0\);_(* &quot;-&quot;_);_(@_)"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Margins'!$R$55:$V$55</c:f>
              <c:numCache>
                <c:formatCode>_(* #,##0.00_);_(* \(#,##0.00\);_(* "-"??_);_(@_)</c:formatCode>
                <c:ptCount val="5"/>
                <c:pt idx="0">
                  <c:v>1823097.97</c:v>
                </c:pt>
                <c:pt idx="1">
                  <c:v>1844679.74</c:v>
                </c:pt>
                <c:pt idx="2">
                  <c:v>1866261.52</c:v>
                </c:pt>
                <c:pt idx="3">
                  <c:v>1887843.3</c:v>
                </c:pt>
                <c:pt idx="4">
                  <c:v>1909425.07</c:v>
                </c:pt>
              </c:numCache>
            </c:numRef>
          </c:val>
          <c:extLst>
            <c:ext xmlns:c16="http://schemas.microsoft.com/office/drawing/2014/chart" uri="{C3380CC4-5D6E-409C-BE32-E72D297353CC}">
              <c16:uniqueId val="{00000003-4DC4-4416-B5AF-0281234A6AFD}"/>
            </c:ext>
          </c:extLst>
        </c:ser>
        <c:dLbls>
          <c:dLblPos val="ctr"/>
          <c:showLegendKey val="0"/>
          <c:showVal val="1"/>
          <c:showCatName val="0"/>
          <c:showSerName val="0"/>
          <c:showPercent val="0"/>
          <c:showBubbleSize val="0"/>
        </c:dLbls>
        <c:gapWidth val="150"/>
        <c:overlap val="100"/>
        <c:axId val="925833664"/>
        <c:axId val="925834144"/>
      </c:barChart>
      <c:catAx>
        <c:axId val="92583366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50" b="0" i="0" u="none" strike="noStrike" kern="1200" cap="all" baseline="0">
                <a:solidFill>
                  <a:sysClr val="windowText" lastClr="000000"/>
                </a:solidFill>
                <a:latin typeface="+mn-lt"/>
                <a:ea typeface="+mn-ea"/>
                <a:cs typeface="+mn-cs"/>
              </a:defRPr>
            </a:pPr>
            <a:endParaRPr lang="en-US"/>
          </a:p>
        </c:txPr>
        <c:crossAx val="925834144"/>
        <c:crosses val="autoZero"/>
        <c:auto val="1"/>
        <c:lblAlgn val="ctr"/>
        <c:lblOffset val="100"/>
        <c:noMultiLvlLbl val="0"/>
      </c:catAx>
      <c:valAx>
        <c:axId val="925834144"/>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00_);_(* \(#,##0.00\);_(* &quot;-&quot;??_);_(@_)" sourceLinked="1"/>
        <c:majorTickMark val="none"/>
        <c:minorTickMark val="none"/>
        <c:tickLblPos val="nextTo"/>
        <c:crossAx val="92583366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1050">
          <a:solidFill>
            <a:sysClr val="windowText" lastClr="00000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a:t>Casablanca revenues by Products</a:t>
            </a:r>
          </a:p>
        </c:rich>
      </c:tx>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autoTitleDeleted val="0"/>
    <c:plotArea>
      <c:layout/>
      <c:barChart>
        <c:barDir val="col"/>
        <c:grouping val="percentStacked"/>
        <c:varyColors val="0"/>
        <c:ser>
          <c:idx val="0"/>
          <c:order val="0"/>
          <c:tx>
            <c:strRef>
              <c:f>'Revenue and Margins'!$A$30</c:f>
              <c:strCache>
                <c:ptCount val="1"/>
                <c:pt idx="0">
                  <c:v>Modern Appartments</c:v>
                </c:pt>
              </c:strCache>
            </c:strRef>
          </c:tx>
          <c:spPr>
            <a:solidFill>
              <a:schemeClr val="accent2">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Margins'!$R$30:$V$30</c:f>
              <c:numCache>
                <c:formatCode>_(* #,##0.00_);_(* \(#,##0.00\);_(* "-"??_);_(@_)</c:formatCode>
                <c:ptCount val="5"/>
                <c:pt idx="0">
                  <c:v>0</c:v>
                </c:pt>
                <c:pt idx="1">
                  <c:v>933800</c:v>
                </c:pt>
                <c:pt idx="2">
                  <c:v>935667.6</c:v>
                </c:pt>
                <c:pt idx="3">
                  <c:v>937538.93519999995</c:v>
                </c:pt>
                <c:pt idx="4">
                  <c:v>939414.01307039999</c:v>
                </c:pt>
              </c:numCache>
            </c:numRef>
          </c:val>
          <c:extLst>
            <c:ext xmlns:c16="http://schemas.microsoft.com/office/drawing/2014/chart" uri="{C3380CC4-5D6E-409C-BE32-E72D297353CC}">
              <c16:uniqueId val="{00000000-221A-4652-BA52-8F90B039E122}"/>
            </c:ext>
          </c:extLst>
        </c:ser>
        <c:ser>
          <c:idx val="1"/>
          <c:order val="1"/>
          <c:tx>
            <c:strRef>
              <c:f>'Revenue and Margins'!$A$31</c:f>
              <c:strCache>
                <c:ptCount val="1"/>
                <c:pt idx="0">
                  <c:v>Villas</c:v>
                </c:pt>
              </c:strCache>
            </c:strRef>
          </c:tx>
          <c:spPr>
            <a:solidFill>
              <a:schemeClr val="accent4">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Margins'!$R$31:$V$31</c:f>
              <c:numCache>
                <c:formatCode>_(* #,##0.00_);_(* \(#,##0.00\);_(* "-"??_);_(@_)</c:formatCode>
                <c:ptCount val="5"/>
                <c:pt idx="0">
                  <c:v>500400</c:v>
                </c:pt>
                <c:pt idx="1">
                  <c:v>501400.8</c:v>
                </c:pt>
                <c:pt idx="2">
                  <c:v>502403.60159999999</c:v>
                </c:pt>
                <c:pt idx="3">
                  <c:v>503408.4088032</c:v>
                </c:pt>
                <c:pt idx="4">
                  <c:v>504415.22562080639</c:v>
                </c:pt>
              </c:numCache>
            </c:numRef>
          </c:val>
          <c:extLst>
            <c:ext xmlns:c16="http://schemas.microsoft.com/office/drawing/2014/chart" uri="{C3380CC4-5D6E-409C-BE32-E72D297353CC}">
              <c16:uniqueId val="{00000001-221A-4652-BA52-8F90B039E122}"/>
            </c:ext>
          </c:extLst>
        </c:ser>
        <c:ser>
          <c:idx val="2"/>
          <c:order val="2"/>
          <c:tx>
            <c:strRef>
              <c:f>'Revenue and Margins'!$A$32</c:f>
              <c:strCache>
                <c:ptCount val="1"/>
                <c:pt idx="0">
                  <c:v>Luxury Properties</c:v>
                </c:pt>
              </c:strCache>
            </c:strRef>
          </c:tx>
          <c:spPr>
            <a:solidFill>
              <a:schemeClr val="accent6">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Margins'!$R$4:$V$4</c:f>
              <c:numCache>
                <c:formatCode>General</c:formatCode>
                <c:ptCount val="5"/>
                <c:pt idx="0">
                  <c:v>2025</c:v>
                </c:pt>
                <c:pt idx="1">
                  <c:v>2026</c:v>
                </c:pt>
                <c:pt idx="2">
                  <c:v>2027</c:v>
                </c:pt>
                <c:pt idx="3">
                  <c:v>2028</c:v>
                </c:pt>
                <c:pt idx="4">
                  <c:v>2029</c:v>
                </c:pt>
              </c:numCache>
            </c:numRef>
          </c:cat>
          <c:val>
            <c:numRef>
              <c:f>'Revenue and Margins'!$R$32:$V$32</c:f>
              <c:numCache>
                <c:formatCode>_(* #,##0.00_);_(* \(#,##0.00\);_(* "-"??_);_(@_)</c:formatCode>
                <c:ptCount val="5"/>
                <c:pt idx="1">
                  <c:v>750000</c:v>
                </c:pt>
                <c:pt idx="2">
                  <c:v>751500</c:v>
                </c:pt>
                <c:pt idx="3">
                  <c:v>753003</c:v>
                </c:pt>
                <c:pt idx="4">
                  <c:v>754509.00600000005</c:v>
                </c:pt>
              </c:numCache>
            </c:numRef>
          </c:val>
          <c:extLst>
            <c:ext xmlns:c16="http://schemas.microsoft.com/office/drawing/2014/chart" uri="{C3380CC4-5D6E-409C-BE32-E72D297353CC}">
              <c16:uniqueId val="{00000002-221A-4652-BA52-8F90B039E122}"/>
            </c:ext>
          </c:extLst>
        </c:ser>
        <c:dLbls>
          <c:dLblPos val="ctr"/>
          <c:showLegendKey val="0"/>
          <c:showVal val="1"/>
          <c:showCatName val="0"/>
          <c:showSerName val="0"/>
          <c:showPercent val="0"/>
          <c:showBubbleSize val="0"/>
        </c:dLbls>
        <c:gapWidth val="150"/>
        <c:overlap val="100"/>
        <c:axId val="925875904"/>
        <c:axId val="925872064"/>
      </c:barChart>
      <c:catAx>
        <c:axId val="92587590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0" i="0" u="none" strike="noStrike" kern="1200" cap="all" baseline="0">
                <a:solidFill>
                  <a:sysClr val="windowText" lastClr="000000"/>
                </a:solidFill>
                <a:latin typeface="+mn-lt"/>
                <a:ea typeface="+mn-ea"/>
                <a:cs typeface="+mn-cs"/>
              </a:defRPr>
            </a:pPr>
            <a:endParaRPr lang="en-US"/>
          </a:p>
        </c:txPr>
        <c:crossAx val="925872064"/>
        <c:crosses val="autoZero"/>
        <c:auto val="1"/>
        <c:lblAlgn val="ctr"/>
        <c:lblOffset val="100"/>
        <c:noMultiLvlLbl val="0"/>
      </c:catAx>
      <c:valAx>
        <c:axId val="9258720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92587590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ysClr val="windowText" lastClr="000000"/>
                </a:solidFill>
                <a:latin typeface="+mn-lt"/>
                <a:ea typeface="+mn-ea"/>
                <a:cs typeface="+mn-cs"/>
              </a:defRPr>
            </a:pPr>
            <a:r>
              <a:rPr lang="en-US"/>
              <a:t>Green Balima Revenues</a:t>
            </a:r>
          </a:p>
        </c:rich>
      </c:tx>
      <c:overlay val="0"/>
      <c:spPr>
        <a:noFill/>
        <a:ln>
          <a:noFill/>
        </a:ln>
        <a:effectLst/>
      </c:spPr>
      <c:txPr>
        <a:bodyPr rot="0" spcFirstLastPara="1" vertOverflow="ellipsis" vert="horz" wrap="square" anchor="ctr" anchorCtr="1"/>
        <a:lstStyle/>
        <a:p>
          <a:pPr>
            <a:defRPr sz="1800" b="1" i="0" u="none" strike="noStrike" kern="1200" baseline="0">
              <a:solidFill>
                <a:sysClr val="windowText" lastClr="000000"/>
              </a:solidFill>
              <a:latin typeface="+mn-lt"/>
              <a:ea typeface="+mn-ea"/>
              <a:cs typeface="+mn-cs"/>
            </a:defRPr>
          </a:pPr>
          <a:endParaRPr lang="en-US"/>
        </a:p>
      </c:txPr>
    </c:title>
    <c:autoTitleDeleted val="0"/>
    <c:plotArea>
      <c:layout/>
      <c:lineChart>
        <c:grouping val="stacked"/>
        <c:varyColors val="0"/>
        <c:ser>
          <c:idx val="0"/>
          <c:order val="0"/>
          <c:tx>
            <c:strRef>
              <c:f>'Revenue and Margins'!$A$42</c:f>
              <c:strCache>
                <c:ptCount val="1"/>
                <c:pt idx="0">
                  <c:v>Short-Term Actions</c:v>
                </c:pt>
              </c:strCache>
            </c:strRef>
          </c:tx>
          <c:spPr>
            <a:ln w="31750" cap="rnd">
              <a:solidFill>
                <a:schemeClr val="accent1"/>
              </a:solidFill>
              <a:round/>
            </a:ln>
            <a:effectLst/>
          </c:spPr>
          <c:marker>
            <c:symbol val="circle"/>
            <c:size val="17"/>
            <c:spPr>
              <a:solidFill>
                <a:schemeClr val="accent1"/>
              </a:solidFill>
              <a:ln>
                <a:noFill/>
              </a:ln>
              <a:effectLst/>
            </c:spPr>
          </c:marker>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'Revenue and Margins'!$B$4:$V$4</c:f>
              <c:numCache>
                <c:formatCode>General</c:formatCode>
                <c:ptCount val="5"/>
                <c:pt idx="0">
                  <c:v>2025</c:v>
                </c:pt>
                <c:pt idx="1">
                  <c:v>2026</c:v>
                </c:pt>
                <c:pt idx="2">
                  <c:v>2027</c:v>
                </c:pt>
                <c:pt idx="3">
                  <c:v>2028</c:v>
                </c:pt>
                <c:pt idx="4">
                  <c:v>2029</c:v>
                </c:pt>
              </c:numCache>
            </c:numRef>
          </c:cat>
          <c:val>
            <c:numRef>
              <c:f>'Revenue and Margins'!$B$42:$V$42</c:f>
              <c:numCache>
                <c:formatCode>_(* #,##0.00_);_(* \(#,##0.00\);_(* "-"??_);_(@_)</c:formatCode>
                <c:ptCount val="5"/>
                <c:pt idx="0">
                  <c:v>3999320.4698966425</c:v>
                </c:pt>
                <c:pt idx="1">
                  <c:v>4038633.4340957901</c:v>
                </c:pt>
                <c:pt idx="2">
                  <c:v>4077902.4330539126</c:v>
                </c:pt>
                <c:pt idx="3">
                  <c:v>4117128.6249180557</c:v>
                </c:pt>
                <c:pt idx="4">
                  <c:v>3531854.0239000628</c:v>
                </c:pt>
              </c:numCache>
            </c:numRef>
          </c:val>
          <c:smooth val="0"/>
          <c:extLst>
            <c:ext xmlns:c16="http://schemas.microsoft.com/office/drawing/2014/chart" uri="{C3380CC4-5D6E-409C-BE32-E72D297353CC}">
              <c16:uniqueId val="{00000000-7D2A-476C-AFEE-138E99B0AEB4}"/>
            </c:ext>
          </c:extLst>
        </c:ser>
        <c:ser>
          <c:idx val="1"/>
          <c:order val="1"/>
          <c:tx>
            <c:strRef>
              <c:f>'Revenue and Margins'!$A$47</c:f>
              <c:strCache>
                <c:ptCount val="1"/>
                <c:pt idx="0">
                  <c:v>Long-Term Actions</c:v>
                </c:pt>
              </c:strCache>
            </c:strRef>
          </c:tx>
          <c:spPr>
            <a:ln w="31750" cap="rnd">
              <a:solidFill>
                <a:schemeClr val="accent2"/>
              </a:solidFill>
              <a:round/>
            </a:ln>
            <a:effectLst/>
          </c:spPr>
          <c:marker>
            <c:symbol val="circle"/>
            <c:size val="17"/>
            <c:spPr>
              <a:solidFill>
                <a:schemeClr val="accent2"/>
              </a:solidFill>
              <a:ln>
                <a:noFill/>
              </a:ln>
              <a:effectLst/>
            </c:spPr>
          </c:marker>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'Revenue and Margins'!$B$4:$V$4</c:f>
              <c:numCache>
                <c:formatCode>General</c:formatCode>
                <c:ptCount val="5"/>
                <c:pt idx="0">
                  <c:v>2025</c:v>
                </c:pt>
                <c:pt idx="1">
                  <c:v>2026</c:v>
                </c:pt>
                <c:pt idx="2">
                  <c:v>2027</c:v>
                </c:pt>
                <c:pt idx="3">
                  <c:v>2028</c:v>
                </c:pt>
                <c:pt idx="4">
                  <c:v>2029</c:v>
                </c:pt>
              </c:numCache>
            </c:numRef>
          </c:cat>
          <c:val>
            <c:numRef>
              <c:f>'Revenue and Margins'!$B$47:$V$47</c:f>
              <c:numCache>
                <c:formatCode>_(* #,##0.00_);_(* \(#,##0.00\);_(* "-"??_);_(@_)</c:formatCode>
                <c:ptCount val="5"/>
                <c:pt idx="0">
                  <c:v>4008002.1327326233</c:v>
                </c:pt>
                <c:pt idx="1">
                  <c:v>4036333.9901704527</c:v>
                </c:pt>
                <c:pt idx="2">
                  <c:v>4064588.9084364893</c:v>
                </c:pt>
                <c:pt idx="3">
                  <c:v>4092768.9142880598</c:v>
                </c:pt>
                <c:pt idx="4">
                  <c:v>4120875.9639160922</c:v>
                </c:pt>
              </c:numCache>
            </c:numRef>
          </c:val>
          <c:smooth val="0"/>
          <c:extLst>
            <c:ext xmlns:c16="http://schemas.microsoft.com/office/drawing/2014/chart" uri="{C3380CC4-5D6E-409C-BE32-E72D297353CC}">
              <c16:uniqueId val="{00000001-7D2A-476C-AFEE-138E99B0AEB4}"/>
            </c:ext>
          </c:extLst>
        </c:ser>
        <c:dLbls>
          <c:showLegendKey val="0"/>
          <c:showVal val="0"/>
          <c:showCatName val="0"/>
          <c:showSerName val="0"/>
          <c:showPercent val="0"/>
          <c:showBubbleSize val="0"/>
        </c:dLbls>
        <c:marker val="1"/>
        <c:smooth val="0"/>
        <c:axId val="925830784"/>
        <c:axId val="925825024"/>
      </c:lineChart>
      <c:catAx>
        <c:axId val="9258307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ysClr val="windowText" lastClr="000000"/>
                </a:solidFill>
                <a:latin typeface="+mn-lt"/>
                <a:ea typeface="+mn-ea"/>
                <a:cs typeface="+mn-cs"/>
              </a:defRPr>
            </a:pPr>
            <a:endParaRPr lang="en-US"/>
          </a:p>
        </c:txPr>
        <c:crossAx val="925825024"/>
        <c:crosses val="autoZero"/>
        <c:auto val="1"/>
        <c:lblAlgn val="ctr"/>
        <c:lblOffset val="100"/>
        <c:noMultiLvlLbl val="0"/>
      </c:catAx>
      <c:valAx>
        <c:axId val="9258250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00_);_(* \(#,##0.00\);_(* &quot;-&quot;??_);_(@_)" sourceLinked="1"/>
        <c:majorTickMark val="none"/>
        <c:minorTickMark val="none"/>
        <c:tickLblPos val="nextTo"/>
        <c:crossAx val="92583078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Green Balima Short Term Actions </a:t>
            </a:r>
          </a:p>
        </c:rich>
      </c:tx>
      <c:layout>
        <c:manualLayout>
          <c:xMode val="edge"/>
          <c:yMode val="edge"/>
          <c:x val="0.1820416628093019"/>
          <c:y val="2.050251061583407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'Revenue and Margins'!$A$43</c:f>
              <c:strCache>
                <c:ptCount val="1"/>
                <c:pt idx="0">
                  <c:v>Water Dispensers Installation Revenue</c:v>
                </c:pt>
              </c:strCache>
            </c:strRef>
          </c:tx>
          <c:spPr>
            <a:solidFill>
              <a:schemeClr val="accent1">
                <a:alpha val="85000"/>
              </a:schemeClr>
            </a:solidFill>
            <a:ln w="9525" cap="flat" cmpd="sng" algn="ctr">
              <a:solidFill>
                <a:schemeClr val="lt1">
                  <a:alpha val="50000"/>
                </a:schemeClr>
              </a:solidFill>
              <a:round/>
            </a:ln>
            <a:effectLst/>
          </c:spPr>
          <c:invertIfNegative val="0"/>
          <c:cat>
            <c:numRef>
              <c:f>'Revenue and Margins'!$B$4:$V$4</c:f>
              <c:numCache>
                <c:formatCode>General</c:formatCode>
                <c:ptCount val="5"/>
                <c:pt idx="0">
                  <c:v>2025</c:v>
                </c:pt>
                <c:pt idx="1">
                  <c:v>2026</c:v>
                </c:pt>
                <c:pt idx="2">
                  <c:v>2027</c:v>
                </c:pt>
                <c:pt idx="3">
                  <c:v>2028</c:v>
                </c:pt>
                <c:pt idx="4">
                  <c:v>2029</c:v>
                </c:pt>
              </c:numCache>
            </c:numRef>
          </c:cat>
          <c:val>
            <c:numRef>
              <c:f>'Revenue and Margins'!$B$43:$V$43</c:f>
              <c:numCache>
                <c:formatCode>_(* #,##0.00_);_(* \(#,##0.00\);_(* "-"??_);_(@_)</c:formatCode>
                <c:ptCount val="5"/>
                <c:pt idx="0">
                  <c:v>1367323.4758346006</c:v>
                </c:pt>
                <c:pt idx="1">
                  <c:v>1383509.807798872</c:v>
                </c:pt>
                <c:pt idx="2">
                  <c:v>1399696.1397631431</c:v>
                </c:pt>
                <c:pt idx="3">
                  <c:v>1415882.471727415</c:v>
                </c:pt>
                <c:pt idx="4">
                  <c:v>1432068.8036916864</c:v>
                </c:pt>
              </c:numCache>
            </c:numRef>
          </c:val>
          <c:extLst>
            <c:ext xmlns:c16="http://schemas.microsoft.com/office/drawing/2014/chart" uri="{C3380CC4-5D6E-409C-BE32-E72D297353CC}">
              <c16:uniqueId val="{00000000-801E-499B-B066-D4D10CF2344E}"/>
            </c:ext>
          </c:extLst>
        </c:ser>
        <c:ser>
          <c:idx val="1"/>
          <c:order val="1"/>
          <c:tx>
            <c:strRef>
              <c:f>'Revenue and Margins'!$A$44</c:f>
              <c:strCache>
                <c:ptCount val="1"/>
                <c:pt idx="0">
                  <c:v>Energy-Efficient Lighting (LED) Revenue</c:v>
                </c:pt>
              </c:strCache>
            </c:strRef>
          </c:tx>
          <c:spPr>
            <a:solidFill>
              <a:schemeClr val="accent2">
                <a:alpha val="85000"/>
              </a:schemeClr>
            </a:solidFill>
            <a:ln w="9525" cap="flat" cmpd="sng" algn="ctr">
              <a:solidFill>
                <a:schemeClr val="lt1">
                  <a:alpha val="50000"/>
                </a:schemeClr>
              </a:solidFill>
              <a:round/>
            </a:ln>
            <a:effectLst/>
          </c:spPr>
          <c:invertIfNegative val="0"/>
          <c:cat>
            <c:numRef>
              <c:f>'Revenue and Margins'!$B$4:$V$4</c:f>
              <c:numCache>
                <c:formatCode>General</c:formatCode>
                <c:ptCount val="5"/>
                <c:pt idx="0">
                  <c:v>2025</c:v>
                </c:pt>
                <c:pt idx="1">
                  <c:v>2026</c:v>
                </c:pt>
                <c:pt idx="2">
                  <c:v>2027</c:v>
                </c:pt>
                <c:pt idx="3">
                  <c:v>2028</c:v>
                </c:pt>
                <c:pt idx="4">
                  <c:v>2029</c:v>
                </c:pt>
              </c:numCache>
            </c:numRef>
          </c:cat>
          <c:val>
            <c:numRef>
              <c:f>'Revenue and Margins'!$B$44:$V$44</c:f>
              <c:numCache>
                <c:formatCode>_(* #,##0.00_);_(* \(#,##0.00\);_(* "-"??_);_(@_)</c:formatCode>
                <c:ptCount val="5"/>
                <c:pt idx="0">
                  <c:v>1367323.4758346006</c:v>
                </c:pt>
                <c:pt idx="1">
                  <c:v>1383509.807798872</c:v>
                </c:pt>
                <c:pt idx="2">
                  <c:v>1399696.1397631431</c:v>
                </c:pt>
                <c:pt idx="3">
                  <c:v>1415882.471727415</c:v>
                </c:pt>
                <c:pt idx="4">
                  <c:v>807609.7000801448</c:v>
                </c:pt>
              </c:numCache>
            </c:numRef>
          </c:val>
          <c:extLst>
            <c:ext xmlns:c16="http://schemas.microsoft.com/office/drawing/2014/chart" uri="{C3380CC4-5D6E-409C-BE32-E72D297353CC}">
              <c16:uniqueId val="{00000001-801E-499B-B066-D4D10CF2344E}"/>
            </c:ext>
          </c:extLst>
        </c:ser>
        <c:ser>
          <c:idx val="2"/>
          <c:order val="2"/>
          <c:tx>
            <c:strRef>
              <c:f>'Revenue and Margins'!$A$45</c:f>
              <c:strCache>
                <c:ptCount val="1"/>
                <c:pt idx="0">
                  <c:v>Waste Segregation and Recycling Program Revenue</c:v>
                </c:pt>
              </c:strCache>
            </c:strRef>
          </c:tx>
          <c:spPr>
            <a:solidFill>
              <a:schemeClr val="accent3">
                <a:alpha val="85000"/>
              </a:schemeClr>
            </a:solidFill>
            <a:ln w="9525" cap="flat" cmpd="sng" algn="ctr">
              <a:solidFill>
                <a:schemeClr val="lt1">
                  <a:alpha val="50000"/>
                </a:schemeClr>
              </a:solidFill>
              <a:round/>
            </a:ln>
            <a:effectLst/>
          </c:spPr>
          <c:invertIfNegative val="0"/>
          <c:cat>
            <c:numRef>
              <c:f>'Revenue and Margins'!$B$4:$V$4</c:f>
              <c:numCache>
                <c:formatCode>General</c:formatCode>
                <c:ptCount val="5"/>
                <c:pt idx="0">
                  <c:v>2025</c:v>
                </c:pt>
                <c:pt idx="1">
                  <c:v>2026</c:v>
                </c:pt>
                <c:pt idx="2">
                  <c:v>2027</c:v>
                </c:pt>
                <c:pt idx="3">
                  <c:v>2028</c:v>
                </c:pt>
                <c:pt idx="4">
                  <c:v>2029</c:v>
                </c:pt>
              </c:numCache>
            </c:numRef>
          </c:cat>
          <c:val>
            <c:numRef>
              <c:f>'Revenue and Margins'!$B$45:$V$45</c:f>
              <c:numCache>
                <c:formatCode>_(* #,##0.00_);_(* \(#,##0.00\);_(* "-"??_);_(@_)</c:formatCode>
                <c:ptCount val="5"/>
                <c:pt idx="0">
                  <c:v>632336.75911372073</c:v>
                </c:pt>
                <c:pt idx="1">
                  <c:v>635806.90924902307</c:v>
                </c:pt>
                <c:pt idx="2">
                  <c:v>639255.07676381315</c:v>
                </c:pt>
                <c:pt idx="3">
                  <c:v>642681.84073161287</c:v>
                </c:pt>
                <c:pt idx="4">
                  <c:v>646087.76006411586</c:v>
                </c:pt>
              </c:numCache>
            </c:numRef>
          </c:val>
          <c:extLst>
            <c:ext xmlns:c16="http://schemas.microsoft.com/office/drawing/2014/chart" uri="{C3380CC4-5D6E-409C-BE32-E72D297353CC}">
              <c16:uniqueId val="{00000002-801E-499B-B066-D4D10CF2344E}"/>
            </c:ext>
          </c:extLst>
        </c:ser>
        <c:ser>
          <c:idx val="3"/>
          <c:order val="3"/>
          <c:tx>
            <c:strRef>
              <c:f>'Revenue and Margins'!$A$46</c:f>
              <c:strCache>
                <c:ptCount val="1"/>
                <c:pt idx="0">
                  <c:v>Staff Training on Sustainability Practices Revenue</c:v>
                </c:pt>
              </c:strCache>
            </c:strRef>
          </c:tx>
          <c:spPr>
            <a:solidFill>
              <a:schemeClr val="accent4">
                <a:alpha val="85000"/>
              </a:schemeClr>
            </a:solidFill>
            <a:ln w="9525" cap="flat" cmpd="sng" algn="ctr">
              <a:solidFill>
                <a:schemeClr val="lt1">
                  <a:alpha val="50000"/>
                </a:schemeClr>
              </a:solidFill>
              <a:round/>
            </a:ln>
            <a:effectLst/>
          </c:spPr>
          <c:invertIfNegative val="0"/>
          <c:cat>
            <c:numRef>
              <c:f>'Revenue and Margins'!$B$4:$V$4</c:f>
              <c:numCache>
                <c:formatCode>General</c:formatCode>
                <c:ptCount val="5"/>
                <c:pt idx="0">
                  <c:v>2025</c:v>
                </c:pt>
                <c:pt idx="1">
                  <c:v>2026</c:v>
                </c:pt>
                <c:pt idx="2">
                  <c:v>2027</c:v>
                </c:pt>
                <c:pt idx="3">
                  <c:v>2028</c:v>
                </c:pt>
                <c:pt idx="4">
                  <c:v>2029</c:v>
                </c:pt>
              </c:numCache>
            </c:numRef>
          </c:cat>
          <c:val>
            <c:numRef>
              <c:f>'Revenue and Margins'!$B$46:$V$46</c:f>
              <c:numCache>
                <c:formatCode>_(* #,##0.00_);_(* \(#,##0.00\);_(* "-"??_);_(@_)</c:formatCode>
                <c:ptCount val="5"/>
                <c:pt idx="0">
                  <c:v>632336.75911372073</c:v>
                </c:pt>
                <c:pt idx="1">
                  <c:v>635806.90924902307</c:v>
                </c:pt>
                <c:pt idx="2">
                  <c:v>639255.07676381315</c:v>
                </c:pt>
                <c:pt idx="3">
                  <c:v>642681.84073161287</c:v>
                </c:pt>
                <c:pt idx="4">
                  <c:v>646087.76006411586</c:v>
                </c:pt>
              </c:numCache>
            </c:numRef>
          </c:val>
          <c:extLst>
            <c:ext xmlns:c16="http://schemas.microsoft.com/office/drawing/2014/chart" uri="{C3380CC4-5D6E-409C-BE32-E72D297353CC}">
              <c16:uniqueId val="{00000003-801E-499B-B066-D4D10CF2344E}"/>
            </c:ext>
          </c:extLst>
        </c:ser>
        <c:dLbls>
          <c:showLegendKey val="0"/>
          <c:showVal val="0"/>
          <c:showCatName val="0"/>
          <c:showSerName val="0"/>
          <c:showPercent val="0"/>
          <c:showBubbleSize val="0"/>
        </c:dLbls>
        <c:gapWidth val="65"/>
        <c:axId val="967999328"/>
        <c:axId val="968003168"/>
      </c:barChart>
      <c:catAx>
        <c:axId val="9679993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68003168"/>
        <c:crosses val="autoZero"/>
        <c:auto val="1"/>
        <c:lblAlgn val="ctr"/>
        <c:lblOffset val="100"/>
        <c:noMultiLvlLbl val="0"/>
      </c:catAx>
      <c:valAx>
        <c:axId val="96800316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_);_(* \(#,##0\);_(* &quot;-&quot;_);_(@_)"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67999328"/>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Green Balima</a:t>
            </a:r>
            <a:r>
              <a:rPr lang="en-US" baseline="0"/>
              <a:t> Long Term Actions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'Revenue and Margins'!$A$48</c:f>
              <c:strCache>
                <c:ptCount val="1"/>
                <c:pt idx="0">
                  <c:v>Solar Panel Installation Revenue</c:v>
                </c:pt>
              </c:strCache>
            </c:strRef>
          </c:tx>
          <c:spPr>
            <a:solidFill>
              <a:schemeClr val="accent1">
                <a:alpha val="85000"/>
              </a:schemeClr>
            </a:solidFill>
            <a:ln w="9525" cap="flat" cmpd="sng" algn="ctr">
              <a:solidFill>
                <a:schemeClr val="lt1">
                  <a:alpha val="50000"/>
                </a:schemeClr>
              </a:solidFill>
              <a:round/>
            </a:ln>
            <a:effectLst/>
          </c:spPr>
          <c:invertIfNegative val="0"/>
          <c:cat>
            <c:numRef>
              <c:f>'Revenue and Margins'!$B$4:$V$4</c:f>
              <c:numCache>
                <c:formatCode>General</c:formatCode>
                <c:ptCount val="5"/>
                <c:pt idx="0">
                  <c:v>2025</c:v>
                </c:pt>
                <c:pt idx="1">
                  <c:v>2026</c:v>
                </c:pt>
                <c:pt idx="2">
                  <c:v>2027</c:v>
                </c:pt>
                <c:pt idx="3">
                  <c:v>2028</c:v>
                </c:pt>
                <c:pt idx="4">
                  <c:v>2029</c:v>
                </c:pt>
              </c:numCache>
            </c:numRef>
          </c:cat>
          <c:val>
            <c:numRef>
              <c:f>'Revenue and Margins'!$B$48:$V$48</c:f>
              <c:numCache>
                <c:formatCode>_(* #,##0.00_);_(* \(#,##0.00\);_(* "-"??_);_(@_)</c:formatCode>
                <c:ptCount val="5"/>
                <c:pt idx="0">
                  <c:v>1264673.5182274415</c:v>
                </c:pt>
                <c:pt idx="1">
                  <c:v>1271613.8184980461</c:v>
                </c:pt>
                <c:pt idx="2">
                  <c:v>1278510.1535276263</c:v>
                </c:pt>
                <c:pt idx="3">
                  <c:v>1285363.6814632257</c:v>
                </c:pt>
                <c:pt idx="4">
                  <c:v>1292175.5201282317</c:v>
                </c:pt>
              </c:numCache>
            </c:numRef>
          </c:val>
          <c:extLst>
            <c:ext xmlns:c16="http://schemas.microsoft.com/office/drawing/2014/chart" uri="{C3380CC4-5D6E-409C-BE32-E72D297353CC}">
              <c16:uniqueId val="{00000000-3CC4-4B90-BCD1-070D461A9588}"/>
            </c:ext>
          </c:extLst>
        </c:ser>
        <c:ser>
          <c:idx val="1"/>
          <c:order val="1"/>
          <c:tx>
            <c:strRef>
              <c:f>'Revenue and Margins'!$A$49</c:f>
              <c:strCache>
                <c:ptCount val="1"/>
                <c:pt idx="0">
                  <c:v>Greywater Recycling System Revenue</c:v>
                </c:pt>
              </c:strCache>
            </c:strRef>
          </c:tx>
          <c:spPr>
            <a:solidFill>
              <a:schemeClr val="accent2">
                <a:alpha val="85000"/>
              </a:schemeClr>
            </a:solidFill>
            <a:ln w="9525" cap="flat" cmpd="sng" algn="ctr">
              <a:solidFill>
                <a:schemeClr val="lt1">
                  <a:alpha val="50000"/>
                </a:schemeClr>
              </a:solidFill>
              <a:round/>
            </a:ln>
            <a:effectLst/>
          </c:spPr>
          <c:invertIfNegative val="0"/>
          <c:cat>
            <c:numRef>
              <c:f>'Revenue and Margins'!$B$4:$V$4</c:f>
              <c:numCache>
                <c:formatCode>General</c:formatCode>
                <c:ptCount val="5"/>
                <c:pt idx="0">
                  <c:v>2025</c:v>
                </c:pt>
                <c:pt idx="1">
                  <c:v>2026</c:v>
                </c:pt>
                <c:pt idx="2">
                  <c:v>2027</c:v>
                </c:pt>
                <c:pt idx="3">
                  <c:v>2028</c:v>
                </c:pt>
                <c:pt idx="4">
                  <c:v>2029</c:v>
                </c:pt>
              </c:numCache>
            </c:numRef>
          </c:cat>
          <c:val>
            <c:numRef>
              <c:f>'Revenue and Margins'!$B$49:$V$49</c:f>
              <c:numCache>
                <c:formatCode>_(* #,##0.00_);_(* \(#,##0.00\);_(* "-"??_);_(@_)</c:formatCode>
                <c:ptCount val="5"/>
                <c:pt idx="0">
                  <c:v>948505.13867058104</c:v>
                </c:pt>
                <c:pt idx="1">
                  <c:v>953710.3638735346</c:v>
                </c:pt>
                <c:pt idx="2">
                  <c:v>958882.61514571961</c:v>
                </c:pt>
                <c:pt idx="3">
                  <c:v>964022.76109741919</c:v>
                </c:pt>
                <c:pt idx="4">
                  <c:v>969131.64009617374</c:v>
                </c:pt>
              </c:numCache>
            </c:numRef>
          </c:val>
          <c:extLst>
            <c:ext xmlns:c16="http://schemas.microsoft.com/office/drawing/2014/chart" uri="{C3380CC4-5D6E-409C-BE32-E72D297353CC}">
              <c16:uniqueId val="{00000001-3CC4-4B90-BCD1-070D461A9588}"/>
            </c:ext>
          </c:extLst>
        </c:ser>
        <c:ser>
          <c:idx val="2"/>
          <c:order val="2"/>
          <c:tx>
            <c:strRef>
              <c:f>'Revenue and Margins'!$A$50</c:f>
              <c:strCache>
                <c:ptCount val="1"/>
                <c:pt idx="0">
                  <c:v>Green Building Certifications (e.g., LEED) Revenue</c:v>
                </c:pt>
              </c:strCache>
            </c:strRef>
          </c:tx>
          <c:spPr>
            <a:solidFill>
              <a:schemeClr val="accent3">
                <a:alpha val="85000"/>
              </a:schemeClr>
            </a:solidFill>
            <a:ln w="9525" cap="flat" cmpd="sng" algn="ctr">
              <a:solidFill>
                <a:schemeClr val="lt1">
                  <a:alpha val="50000"/>
                </a:schemeClr>
              </a:solidFill>
              <a:round/>
            </a:ln>
            <a:effectLst/>
          </c:spPr>
          <c:invertIfNegative val="0"/>
          <c:cat>
            <c:numRef>
              <c:f>'Revenue and Margins'!$B$4:$V$4</c:f>
              <c:numCache>
                <c:formatCode>General</c:formatCode>
                <c:ptCount val="5"/>
                <c:pt idx="0">
                  <c:v>2025</c:v>
                </c:pt>
                <c:pt idx="1">
                  <c:v>2026</c:v>
                </c:pt>
                <c:pt idx="2">
                  <c:v>2027</c:v>
                </c:pt>
                <c:pt idx="3">
                  <c:v>2028</c:v>
                </c:pt>
                <c:pt idx="4">
                  <c:v>2029</c:v>
                </c:pt>
              </c:numCache>
            </c:numRef>
          </c:cat>
          <c:val>
            <c:numRef>
              <c:f>'Revenue and Margins'!$B$50:$V$50</c:f>
              <c:numCache>
                <c:formatCode>_(* #,##0.00_);_(* \(#,##0.00\);_(* "-"??_);_(@_)</c:formatCode>
                <c:ptCount val="5"/>
                <c:pt idx="0">
                  <c:v>1794823.4758346006</c:v>
                </c:pt>
                <c:pt idx="1">
                  <c:v>1811009.807798872</c:v>
                </c:pt>
                <c:pt idx="2">
                  <c:v>1827196.1397631431</c:v>
                </c:pt>
                <c:pt idx="3">
                  <c:v>1843382.471727415</c:v>
                </c:pt>
                <c:pt idx="4">
                  <c:v>1859568.8036916864</c:v>
                </c:pt>
              </c:numCache>
            </c:numRef>
          </c:val>
          <c:extLst>
            <c:ext xmlns:c16="http://schemas.microsoft.com/office/drawing/2014/chart" uri="{C3380CC4-5D6E-409C-BE32-E72D297353CC}">
              <c16:uniqueId val="{00000002-3CC4-4B90-BCD1-070D461A9588}"/>
            </c:ext>
          </c:extLst>
        </c:ser>
        <c:dLbls>
          <c:showLegendKey val="0"/>
          <c:showVal val="0"/>
          <c:showCatName val="0"/>
          <c:showSerName val="0"/>
          <c:showPercent val="0"/>
          <c:showBubbleSize val="0"/>
        </c:dLbls>
        <c:gapWidth val="65"/>
        <c:axId val="973340384"/>
        <c:axId val="973353344"/>
      </c:barChart>
      <c:catAx>
        <c:axId val="9733403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73353344"/>
        <c:crosses val="autoZero"/>
        <c:auto val="1"/>
        <c:lblAlgn val="ctr"/>
        <c:lblOffset val="100"/>
        <c:noMultiLvlLbl val="0"/>
      </c:catAx>
      <c:valAx>
        <c:axId val="97335334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_);_(* \(#,##0\);_(* &quot;-&quot;_);_(@_)"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7334038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920" b="1" i="0" u="none" strike="noStrike" kern="120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'Revenue and Margins'!$A$56</c:f>
              <c:strCache>
                <c:ptCount val="1"/>
                <c:pt idx="0">
                  <c:v>Website Revanping With Online Booking andAI  Chatbot</c:v>
                </c:pt>
              </c:strCache>
            </c:strRef>
          </c:tx>
          <c:spPr>
            <a:solidFill>
              <a:schemeClr val="accent1">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'Revenue and Margins'!$B$4:$V$4</c:f>
              <c:numCache>
                <c:formatCode>General</c:formatCode>
                <c:ptCount val="5"/>
                <c:pt idx="0">
                  <c:v>2025</c:v>
                </c:pt>
                <c:pt idx="1">
                  <c:v>2026</c:v>
                </c:pt>
                <c:pt idx="2">
                  <c:v>2027</c:v>
                </c:pt>
                <c:pt idx="3">
                  <c:v>2028</c:v>
                </c:pt>
                <c:pt idx="4">
                  <c:v>2029</c:v>
                </c:pt>
              </c:numCache>
            </c:numRef>
          </c:cat>
          <c:val>
            <c:numRef>
              <c:f>'Revenue and Margins'!$B$56:$V$56</c:f>
              <c:numCache>
                <c:formatCode>#,##0.00</c:formatCode>
                <c:ptCount val="5"/>
                <c:pt idx="0">
                  <c:v>1823097.97</c:v>
                </c:pt>
                <c:pt idx="1">
                  <c:v>1844679.74</c:v>
                </c:pt>
                <c:pt idx="2">
                  <c:v>1866261.52</c:v>
                </c:pt>
                <c:pt idx="3">
                  <c:v>1887843.3</c:v>
                </c:pt>
                <c:pt idx="4">
                  <c:v>1909425.07</c:v>
                </c:pt>
              </c:numCache>
            </c:numRef>
          </c:val>
          <c:extLst>
            <c:ext xmlns:c16="http://schemas.microsoft.com/office/drawing/2014/chart" uri="{C3380CC4-5D6E-409C-BE32-E72D297353CC}">
              <c16:uniqueId val="{00000000-8512-49C2-B10F-134187C4BAD7}"/>
            </c:ext>
          </c:extLst>
        </c:ser>
        <c:dLbls>
          <c:dLblPos val="outEnd"/>
          <c:showLegendKey val="0"/>
          <c:showVal val="1"/>
          <c:showCatName val="0"/>
          <c:showSerName val="0"/>
          <c:showPercent val="0"/>
          <c:showBubbleSize val="0"/>
        </c:dLbls>
        <c:gapWidth val="65"/>
        <c:axId val="1039616655"/>
        <c:axId val="1039617615"/>
      </c:barChart>
      <c:catAx>
        <c:axId val="103961665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600" b="0" i="0" u="none" strike="noStrike" kern="1200" cap="all" baseline="0">
                <a:solidFill>
                  <a:sysClr val="windowText" lastClr="000000"/>
                </a:solidFill>
                <a:latin typeface="+mn-lt"/>
                <a:ea typeface="+mn-ea"/>
                <a:cs typeface="+mn-cs"/>
              </a:defRPr>
            </a:pPr>
            <a:endParaRPr lang="en-US"/>
          </a:p>
        </c:txPr>
        <c:crossAx val="1039617615"/>
        <c:crosses val="autoZero"/>
        <c:auto val="1"/>
        <c:lblAlgn val="ctr"/>
        <c:lblOffset val="100"/>
        <c:noMultiLvlLbl val="0"/>
      </c:catAx>
      <c:valAx>
        <c:axId val="103961761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039616655"/>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baseline="0">
                <a:solidFill>
                  <a:sysClr val="windowText" lastClr="000000"/>
                </a:solidFill>
                <a:latin typeface="+mn-lt"/>
                <a:ea typeface="+mn-ea"/>
                <a:cs typeface="+mn-cs"/>
              </a:defRPr>
            </a:pPr>
            <a:r>
              <a:rPr lang="en-US"/>
              <a:t>Expenses by Strategies</a:t>
            </a:r>
          </a:p>
        </c:rich>
      </c:tx>
      <c:overlay val="0"/>
      <c:spPr>
        <a:noFill/>
        <a:ln>
          <a:noFill/>
        </a:ln>
        <a:effectLst/>
      </c:spPr>
      <c:txPr>
        <a:bodyPr rot="0" spcFirstLastPara="1" vertOverflow="ellipsis" vert="horz" wrap="square" anchor="ctr" anchorCtr="1"/>
        <a:lstStyle/>
        <a:p>
          <a:pPr>
            <a:defRPr sz="1260" b="1" i="0" u="none" strike="noStrike" kern="1200" baseline="0">
              <a:solidFill>
                <a:sysClr val="windowText" lastClr="000000"/>
              </a:solidFill>
              <a:latin typeface="+mn-lt"/>
              <a:ea typeface="+mn-ea"/>
              <a:cs typeface="+mn-cs"/>
            </a:defRPr>
          </a:pPr>
          <a:endParaRPr lang="en-US"/>
        </a:p>
      </c:txPr>
    </c:title>
    <c:autoTitleDeleted val="0"/>
    <c:plotArea>
      <c:layout/>
      <c:barChart>
        <c:barDir val="bar"/>
        <c:grouping val="percentStacked"/>
        <c:varyColors val="0"/>
        <c:ser>
          <c:idx val="0"/>
          <c:order val="0"/>
          <c:tx>
            <c:strRef>
              <c:f>Expenses!$A$7</c:f>
              <c:strCache>
                <c:ptCount val="1"/>
                <c:pt idx="0">
                  <c:v>Opening Strategy</c:v>
                </c:pt>
              </c:strCache>
            </c:strRef>
          </c:tx>
          <c:spPr>
            <a:solidFill>
              <a:schemeClr val="accent1">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Expenses!$B$13:$V$13</c:f>
              <c:numCache>
                <c:formatCode>_(* #,##0.00_);_(* \(#,##0.00\);_(* "-"??_);_(@_)</c:formatCode>
                <c:ptCount val="5"/>
                <c:pt idx="0">
                  <c:v>6444823.4758346006</c:v>
                </c:pt>
                <c:pt idx="1">
                  <c:v>1811009.807798872</c:v>
                </c:pt>
                <c:pt idx="2">
                  <c:v>1827196.1397631431</c:v>
                </c:pt>
                <c:pt idx="3">
                  <c:v>1843382.471727415</c:v>
                </c:pt>
                <c:pt idx="4">
                  <c:v>1859568.8036916864</c:v>
                </c:pt>
              </c:numCache>
            </c:numRef>
          </c:val>
          <c:extLst>
            <c:ext xmlns:c16="http://schemas.microsoft.com/office/drawing/2014/chart" uri="{C3380CC4-5D6E-409C-BE32-E72D297353CC}">
              <c16:uniqueId val="{00000000-7DEE-492D-9100-B930ACF41D02}"/>
            </c:ext>
          </c:extLst>
        </c:ser>
        <c:ser>
          <c:idx val="1"/>
          <c:order val="1"/>
          <c:tx>
            <c:strRef>
              <c:f>Expenses!$A$16</c:f>
              <c:strCache>
                <c:ptCount val="1"/>
                <c:pt idx="0">
                  <c:v>Expansion Strategy</c:v>
                </c:pt>
              </c:strCache>
            </c:strRef>
          </c:tx>
          <c:spPr>
            <a:solidFill>
              <a:schemeClr val="accent2">
                <a:alpha val="85000"/>
              </a:schemeClr>
            </a:solidFill>
            <a:ln w="9525" cap="flat" cmpd="sng" algn="ctr">
              <a:solidFill>
                <a:schemeClr val="lt1">
                  <a:alpha val="50000"/>
                </a:schemeClr>
              </a:solidFill>
              <a:round/>
            </a:ln>
            <a:effectLst/>
          </c:spPr>
          <c:invertIfNegative val="0"/>
          <c:dLbls>
            <c:dLbl>
              <c:idx val="2"/>
              <c:layout>
                <c:manualLayout>
                  <c:x val="-9.1816367265469212E-2"/>
                  <c:y val="-6.15384615384615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DEE-492D-9100-B930ACF41D02}"/>
                </c:ext>
              </c:extLst>
            </c:dLbl>
            <c:dLbl>
              <c:idx val="4"/>
              <c:layout>
                <c:manualLayout>
                  <c:x val="-7.1856287425149698E-2"/>
                  <c:y val="-6.92307692307692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DEE-492D-9100-B930ACF41D02}"/>
                </c:ext>
              </c:extLst>
            </c:dLbl>
            <c:numFmt formatCode="_(* #,##0_);_(* \(#,##0\);_(* &quot;-&quot;_);_(@_)" sourceLinked="0"/>
            <c:spPr>
              <a:solidFill>
                <a:sysClr val="windowText" lastClr="000000">
                  <a:lumMod val="65000"/>
                  <a:lumOff val="35000"/>
                  <a:alpha val="75000"/>
                </a:sysClr>
              </a:solidFill>
              <a:ln>
                <a:noFill/>
              </a:ln>
              <a:effectLst/>
            </c:spPr>
            <c:txPr>
              <a:bodyPr rot="0" spcFirstLastPara="1" vertOverflow="clip" horzOverflow="clip" vert="horz" wrap="square" lIns="36576" tIns="18288" rIns="36576" bIns="18288"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Expenses!$B$4:$V$4</c:f>
              <c:numCache>
                <c:formatCode>General</c:formatCode>
                <c:ptCount val="5"/>
                <c:pt idx="0">
                  <c:v>2025</c:v>
                </c:pt>
                <c:pt idx="1">
                  <c:v>2026</c:v>
                </c:pt>
                <c:pt idx="2">
                  <c:v>2027</c:v>
                </c:pt>
                <c:pt idx="3">
                  <c:v>2028</c:v>
                </c:pt>
                <c:pt idx="4">
                  <c:v>2029</c:v>
                </c:pt>
              </c:numCache>
            </c:numRef>
          </c:cat>
          <c:val>
            <c:numRef>
              <c:f>Expenses!$B$32:$V$32</c:f>
              <c:numCache>
                <c:formatCode>_(* #,##0.00_);_(* \(#,##0.00\);_(* "-"??_);_(@_)</c:formatCode>
                <c:ptCount val="5"/>
                <c:pt idx="0">
                  <c:v>38945220</c:v>
                </c:pt>
                <c:pt idx="1">
                  <c:v>63159500</c:v>
                </c:pt>
                <c:pt idx="2">
                  <c:v>60000</c:v>
                </c:pt>
                <c:pt idx="3">
                  <c:v>60000</c:v>
                </c:pt>
                <c:pt idx="4">
                  <c:v>50000</c:v>
                </c:pt>
              </c:numCache>
            </c:numRef>
          </c:val>
          <c:extLst>
            <c:ext xmlns:c16="http://schemas.microsoft.com/office/drawing/2014/chart" uri="{C3380CC4-5D6E-409C-BE32-E72D297353CC}">
              <c16:uniqueId val="{00000001-7DEE-492D-9100-B930ACF41D02}"/>
            </c:ext>
          </c:extLst>
        </c:ser>
        <c:ser>
          <c:idx val="2"/>
          <c:order val="2"/>
          <c:tx>
            <c:strRef>
              <c:f>Expenses!$A$35</c:f>
              <c:strCache>
                <c:ptCount val="1"/>
                <c:pt idx="0">
                  <c:v>Green BALIMA Strategy</c:v>
                </c:pt>
              </c:strCache>
            </c:strRef>
          </c:tx>
          <c:spPr>
            <a:solidFill>
              <a:schemeClr val="accent3">
                <a:alpha val="85000"/>
              </a:schemeClr>
            </a:solidFill>
            <a:ln w="9525" cap="flat" cmpd="sng" algn="ctr">
              <a:solidFill>
                <a:schemeClr val="lt1">
                  <a:alpha val="50000"/>
                </a:schemeClr>
              </a:solidFill>
              <a:round/>
            </a:ln>
            <a:effectLst/>
          </c:spPr>
          <c:invertIfNegative val="0"/>
          <c:dLbls>
            <c:dLbl>
              <c:idx val="0"/>
              <c:layout>
                <c:manualLayout>
                  <c:x val="-3.1936127744510975E-2"/>
                  <c:y val="8.4615384615384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DEE-492D-9100-B930ACF41D02}"/>
                </c:ext>
              </c:extLst>
            </c:dLbl>
            <c:dLbl>
              <c:idx val="2"/>
              <c:layout>
                <c:manualLayout>
                  <c:x val="-5.7884231536926151E-2"/>
                  <c:y val="9.61538461538461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DEE-492D-9100-B930ACF41D02}"/>
                </c:ext>
              </c:extLst>
            </c:dLbl>
            <c:dLbl>
              <c:idx val="3"/>
              <c:layout>
                <c:manualLayout>
                  <c:x val="-0.1157684630738523"/>
                  <c:y val="-7.30769230769230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DEE-492D-9100-B930ACF41D02}"/>
                </c:ext>
              </c:extLst>
            </c:dLbl>
            <c:dLbl>
              <c:idx val="4"/>
              <c:layout>
                <c:manualLayout>
                  <c:x val="-2.3952095808383235E-2"/>
                  <c:y val="-0.130769230769230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DEE-492D-9100-B930ACF41D02}"/>
                </c:ext>
              </c:extLst>
            </c:dLbl>
            <c:spPr>
              <a:solidFill>
                <a:sysClr val="windowText" lastClr="000000">
                  <a:lumMod val="65000"/>
                  <a:lumOff val="35000"/>
                  <a:alpha val="75000"/>
                </a:sysClr>
              </a:solidFill>
              <a:ln>
                <a:noFill/>
              </a:ln>
              <a:effectLst/>
            </c:spPr>
            <c:txPr>
              <a:bodyPr rot="0" spcFirstLastPara="1" vertOverflow="clip" horzOverflow="clip" vert="horz" wrap="square" lIns="36576" tIns="18288" rIns="36576" bIns="18288"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Expenses!$B$4:$V$4</c:f>
              <c:numCache>
                <c:formatCode>General</c:formatCode>
                <c:ptCount val="5"/>
                <c:pt idx="0">
                  <c:v>2025</c:v>
                </c:pt>
                <c:pt idx="1">
                  <c:v>2026</c:v>
                </c:pt>
                <c:pt idx="2">
                  <c:v>2027</c:v>
                </c:pt>
                <c:pt idx="3">
                  <c:v>2028</c:v>
                </c:pt>
                <c:pt idx="4">
                  <c:v>2029</c:v>
                </c:pt>
              </c:numCache>
            </c:numRef>
          </c:cat>
          <c:val>
            <c:numRef>
              <c:f>Expenses!$B$46:$V$46</c:f>
              <c:numCache>
                <c:formatCode>_(* #,##0.00_);_(* \(#,##0.00\);_(* "-"??_);_(@_)</c:formatCode>
                <c:ptCount val="5"/>
                <c:pt idx="0">
                  <c:v>5448000</c:v>
                </c:pt>
                <c:pt idx="1">
                  <c:v>3000</c:v>
                </c:pt>
                <c:pt idx="2">
                  <c:v>2000</c:v>
                </c:pt>
                <c:pt idx="3">
                  <c:v>2000</c:v>
                </c:pt>
                <c:pt idx="4">
                  <c:v>0</c:v>
                </c:pt>
              </c:numCache>
            </c:numRef>
          </c:val>
          <c:extLst>
            <c:ext xmlns:c16="http://schemas.microsoft.com/office/drawing/2014/chart" uri="{C3380CC4-5D6E-409C-BE32-E72D297353CC}">
              <c16:uniqueId val="{00000002-7DEE-492D-9100-B930ACF41D02}"/>
            </c:ext>
          </c:extLst>
        </c:ser>
        <c:ser>
          <c:idx val="3"/>
          <c:order val="3"/>
          <c:tx>
            <c:strRef>
              <c:f>Expenses!$A$49</c:f>
              <c:strCache>
                <c:ptCount val="1"/>
                <c:pt idx="0">
                  <c:v>Marketing Strategy</c:v>
                </c:pt>
              </c:strCache>
            </c:strRef>
          </c:tx>
          <c:spPr>
            <a:solidFill>
              <a:schemeClr val="accent4">
                <a:alpha val="85000"/>
              </a:schemeClr>
            </a:solidFill>
            <a:ln w="9525" cap="flat" cmpd="sng" algn="ctr">
              <a:solidFill>
                <a:schemeClr val="lt1">
                  <a:alpha val="50000"/>
                </a:schemeClr>
              </a:solidFill>
              <a:round/>
            </a:ln>
            <a:effectLst/>
          </c:spPr>
          <c:invertIfNegative val="0"/>
          <c:dLbls>
            <c:dLbl>
              <c:idx val="0"/>
              <c:layout>
                <c:manualLayout>
                  <c:x val="-0.11776447105788437"/>
                  <c:y val="-5.7692307692307696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DEE-492D-9100-B930ACF41D02}"/>
                </c:ext>
              </c:extLst>
            </c:dLbl>
            <c:numFmt formatCode="_(* #,##0_);_(* \(#,##0\);_(* &quot;-&quot;_);_(@_)"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Expenses!$B$51:$V$51</c:f>
              <c:numCache>
                <c:formatCode>_(* #,##0.00_);_(* \(#,##0.00\);_(* "-"??_);_(@_)</c:formatCode>
                <c:ptCount val="5"/>
                <c:pt idx="0">
                  <c:v>200000</c:v>
                </c:pt>
                <c:pt idx="1">
                  <c:v>0</c:v>
                </c:pt>
                <c:pt idx="2">
                  <c:v>0</c:v>
                </c:pt>
                <c:pt idx="3">
                  <c:v>0</c:v>
                </c:pt>
                <c:pt idx="4">
                  <c:v>0</c:v>
                </c:pt>
              </c:numCache>
            </c:numRef>
          </c:val>
          <c:extLst>
            <c:ext xmlns:c16="http://schemas.microsoft.com/office/drawing/2014/chart" uri="{C3380CC4-5D6E-409C-BE32-E72D297353CC}">
              <c16:uniqueId val="{00000003-7DEE-492D-9100-B930ACF41D02}"/>
            </c:ext>
          </c:extLst>
        </c:ser>
        <c:dLbls>
          <c:dLblPos val="ctr"/>
          <c:showLegendKey val="0"/>
          <c:showVal val="1"/>
          <c:showCatName val="0"/>
          <c:showSerName val="0"/>
          <c:showPercent val="0"/>
          <c:showBubbleSize val="0"/>
        </c:dLbls>
        <c:gapWidth val="150"/>
        <c:overlap val="100"/>
        <c:axId val="1116487791"/>
        <c:axId val="1116485391"/>
      </c:barChart>
      <c:catAx>
        <c:axId val="111648779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50" b="0" i="0" u="none" strike="noStrike" kern="1200" cap="all" baseline="0">
                <a:solidFill>
                  <a:sysClr val="windowText" lastClr="000000"/>
                </a:solidFill>
                <a:latin typeface="+mn-lt"/>
                <a:ea typeface="+mn-ea"/>
                <a:cs typeface="+mn-cs"/>
              </a:defRPr>
            </a:pPr>
            <a:endParaRPr lang="en-US"/>
          </a:p>
        </c:txPr>
        <c:crossAx val="1116485391"/>
        <c:crosses val="autoZero"/>
        <c:auto val="1"/>
        <c:lblAlgn val="ctr"/>
        <c:lblOffset val="100"/>
        <c:noMultiLvlLbl val="0"/>
      </c:catAx>
      <c:valAx>
        <c:axId val="1116485391"/>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116487791"/>
        <c:crosses val="autoZero"/>
        <c:crossBetween val="between"/>
      </c:valAx>
      <c:spPr>
        <a:noFill/>
        <a:ln>
          <a:noFill/>
        </a:ln>
        <a:effectLst/>
      </c:spPr>
    </c:plotArea>
    <c:legend>
      <c:legendPos val="b"/>
      <c:layout>
        <c:manualLayout>
          <c:xMode val="edge"/>
          <c:yMode val="edge"/>
          <c:x val="3.7179813601144168E-2"/>
          <c:y val="0.90503179890975172"/>
          <c:w val="0.88572021311707294"/>
          <c:h val="7.189127801332526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1050">
          <a:solidFill>
            <a:sysClr val="windowText" lastClr="000000"/>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BALIMA Expension Expenses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1"/>
          <c:order val="1"/>
          <c:tx>
            <c:strRef>
              <c:f>Expenses!$A$18</c:f>
              <c:strCache>
                <c:ptCount val="1"/>
                <c:pt idx="0">
                  <c:v>Property Renovation and Furnishing Cost</c:v>
                </c:pt>
              </c:strCache>
            </c:strRef>
          </c:tx>
          <c:spPr>
            <a:ln w="31750" cap="rnd">
              <a:solidFill>
                <a:schemeClr val="tx2"/>
              </a:solidFill>
              <a:round/>
            </a:ln>
            <a:effectLst/>
          </c:spPr>
          <c:marker>
            <c:symbol val="circle"/>
            <c:size val="17"/>
            <c:spPr>
              <a:solidFill>
                <a:schemeClr val="tx2"/>
              </a:solidFill>
              <a:ln>
                <a:solidFill>
                  <a:schemeClr val="tx2"/>
                </a:solidFill>
              </a:ln>
              <a:effectLst/>
            </c:spPr>
          </c:marker>
          <c:cat>
            <c:numRef>
              <c:f>Expenses!$B$4:$V$4</c:f>
              <c:numCache>
                <c:formatCode>General</c:formatCode>
                <c:ptCount val="5"/>
                <c:pt idx="0">
                  <c:v>2025</c:v>
                </c:pt>
                <c:pt idx="1">
                  <c:v>2026</c:v>
                </c:pt>
                <c:pt idx="2">
                  <c:v>2027</c:v>
                </c:pt>
                <c:pt idx="3">
                  <c:v>2028</c:v>
                </c:pt>
                <c:pt idx="4">
                  <c:v>2029</c:v>
                </c:pt>
              </c:numCache>
            </c:numRef>
          </c:cat>
          <c:val>
            <c:numRef>
              <c:f>Expenses!$B$18:$V$18</c:f>
              <c:numCache>
                <c:formatCode>_(* #,##0.00_);_(* \(#,##0.00\);_(* "-"??_);_(@_)</c:formatCode>
                <c:ptCount val="5"/>
                <c:pt idx="0">
                  <c:v>5000000</c:v>
                </c:pt>
                <c:pt idx="1">
                  <c:v>0</c:v>
                </c:pt>
                <c:pt idx="2">
                  <c:v>0</c:v>
                </c:pt>
                <c:pt idx="3">
                  <c:v>0</c:v>
                </c:pt>
                <c:pt idx="4">
                  <c:v>0</c:v>
                </c:pt>
              </c:numCache>
            </c:numRef>
          </c:val>
          <c:smooth val="0"/>
          <c:extLst>
            <c:ext xmlns:c16="http://schemas.microsoft.com/office/drawing/2014/chart" uri="{C3380CC4-5D6E-409C-BE32-E72D297353CC}">
              <c16:uniqueId val="{00000001-DB8B-48D1-B348-0BC48AC05AB0}"/>
            </c:ext>
          </c:extLst>
        </c:ser>
        <c:ser>
          <c:idx val="2"/>
          <c:order val="2"/>
          <c:tx>
            <c:strRef>
              <c:f>Expenses!$A$19</c:f>
              <c:strCache>
                <c:ptCount val="1"/>
                <c:pt idx="0">
                  <c:v>Property Acquisition/Leasing  Cost</c:v>
                </c:pt>
              </c:strCache>
            </c:strRef>
          </c:tx>
          <c:spPr>
            <a:ln w="31750" cap="rnd">
              <a:solidFill>
                <a:schemeClr val="tx2">
                  <a:lumMod val="75000"/>
                  <a:lumOff val="25000"/>
                </a:schemeClr>
              </a:solidFill>
              <a:round/>
            </a:ln>
            <a:effectLst/>
          </c:spPr>
          <c:marker>
            <c:symbol val="circle"/>
            <c:size val="17"/>
            <c:spPr>
              <a:solidFill>
                <a:schemeClr val="tx2">
                  <a:lumMod val="75000"/>
                  <a:lumOff val="25000"/>
                </a:schemeClr>
              </a:solidFill>
              <a:ln>
                <a:solidFill>
                  <a:schemeClr val="tx2">
                    <a:lumMod val="75000"/>
                    <a:lumOff val="25000"/>
                  </a:schemeClr>
                </a:solidFill>
              </a:ln>
              <a:effectLst/>
            </c:spPr>
          </c:marker>
          <c:cat>
            <c:numRef>
              <c:f>Expenses!$B$4:$V$4</c:f>
              <c:numCache>
                <c:formatCode>General</c:formatCode>
                <c:ptCount val="5"/>
                <c:pt idx="0">
                  <c:v>2025</c:v>
                </c:pt>
                <c:pt idx="1">
                  <c:v>2026</c:v>
                </c:pt>
                <c:pt idx="2">
                  <c:v>2027</c:v>
                </c:pt>
                <c:pt idx="3">
                  <c:v>2028</c:v>
                </c:pt>
                <c:pt idx="4">
                  <c:v>2029</c:v>
                </c:pt>
              </c:numCache>
            </c:numRef>
          </c:cat>
          <c:val>
            <c:numRef>
              <c:f>Expenses!$B$19:$V$19</c:f>
              <c:numCache>
                <c:formatCode>_(* #,##0.00_);_(* \(#,##0.00\);_(* "-"??_);_(@_)</c:formatCode>
                <c:ptCount val="5"/>
                <c:pt idx="0">
                  <c:v>33540220</c:v>
                </c:pt>
                <c:pt idx="1">
                  <c:v>62969500</c:v>
                </c:pt>
                <c:pt idx="2">
                  <c:v>0</c:v>
                </c:pt>
                <c:pt idx="3">
                  <c:v>0</c:v>
                </c:pt>
                <c:pt idx="4">
                  <c:v>0</c:v>
                </c:pt>
              </c:numCache>
            </c:numRef>
          </c:val>
          <c:smooth val="0"/>
          <c:extLst>
            <c:ext xmlns:c16="http://schemas.microsoft.com/office/drawing/2014/chart" uri="{C3380CC4-5D6E-409C-BE32-E72D297353CC}">
              <c16:uniqueId val="{00000002-DB8B-48D1-B348-0BC48AC05AB0}"/>
            </c:ext>
          </c:extLst>
        </c:ser>
        <c:ser>
          <c:idx val="3"/>
          <c:order val="3"/>
          <c:tx>
            <c:strRef>
              <c:f>Expenses!$A$20</c:f>
              <c:strCache>
                <c:ptCount val="1"/>
                <c:pt idx="0">
                  <c:v>Marrakech Property Acquisition/Leasing Cost</c:v>
                </c:pt>
              </c:strCache>
            </c:strRef>
          </c:tx>
          <c:spPr>
            <a:ln w="31750" cap="rnd">
              <a:solidFill>
                <a:schemeClr val="accent4"/>
              </a:solidFill>
              <a:round/>
            </a:ln>
            <a:effectLst/>
          </c:spPr>
          <c:marker>
            <c:symbol val="circle"/>
            <c:size val="17"/>
            <c:spPr>
              <a:solidFill>
                <a:schemeClr val="accent4"/>
              </a:solidFill>
              <a:ln>
                <a:noFill/>
              </a:ln>
              <a:effectLst/>
            </c:spPr>
          </c:marker>
          <c:cat>
            <c:numRef>
              <c:f>Expenses!$B$4:$V$4</c:f>
              <c:numCache>
                <c:formatCode>General</c:formatCode>
                <c:ptCount val="5"/>
                <c:pt idx="0">
                  <c:v>2025</c:v>
                </c:pt>
                <c:pt idx="1">
                  <c:v>2026</c:v>
                </c:pt>
                <c:pt idx="2">
                  <c:v>2027</c:v>
                </c:pt>
                <c:pt idx="3">
                  <c:v>2028</c:v>
                </c:pt>
                <c:pt idx="4">
                  <c:v>2029</c:v>
                </c:pt>
              </c:numCache>
            </c:numRef>
          </c:cat>
          <c:val>
            <c:numRef>
              <c:f>Expenses!$B$20:$V$20</c:f>
              <c:numCache>
                <c:formatCode>_(* #,##0.00_);_(* \(#,##0.00\);_(* "-"??_);_(@_)</c:formatCode>
                <c:ptCount val="5"/>
                <c:pt idx="0">
                  <c:v>12840000.000000002</c:v>
                </c:pt>
                <c:pt idx="1">
                  <c:v>45796000</c:v>
                </c:pt>
                <c:pt idx="2">
                  <c:v>0</c:v>
                </c:pt>
                <c:pt idx="3">
                  <c:v>0</c:v>
                </c:pt>
                <c:pt idx="4">
                  <c:v>0</c:v>
                </c:pt>
              </c:numCache>
            </c:numRef>
          </c:val>
          <c:smooth val="0"/>
          <c:extLst>
            <c:ext xmlns:c16="http://schemas.microsoft.com/office/drawing/2014/chart" uri="{C3380CC4-5D6E-409C-BE32-E72D297353CC}">
              <c16:uniqueId val="{00000003-DB8B-48D1-B348-0BC48AC05AB0}"/>
            </c:ext>
          </c:extLst>
        </c:ser>
        <c:ser>
          <c:idx val="4"/>
          <c:order val="4"/>
          <c:tx>
            <c:strRef>
              <c:f>Expenses!$A$24</c:f>
              <c:strCache>
                <c:ptCount val="1"/>
                <c:pt idx="0">
                  <c:v>Casablanca Property Acquisition/Leasing Cost</c:v>
                </c:pt>
              </c:strCache>
            </c:strRef>
          </c:tx>
          <c:spPr>
            <a:ln w="31750" cap="rnd">
              <a:solidFill>
                <a:schemeClr val="accent4">
                  <a:lumMod val="60000"/>
                  <a:lumOff val="40000"/>
                </a:schemeClr>
              </a:solidFill>
              <a:round/>
            </a:ln>
            <a:effectLst/>
          </c:spPr>
          <c:marker>
            <c:symbol val="circle"/>
            <c:size val="17"/>
            <c:spPr>
              <a:solidFill>
                <a:schemeClr val="accent4">
                  <a:lumMod val="20000"/>
                  <a:lumOff val="80000"/>
                </a:schemeClr>
              </a:solidFill>
              <a:ln>
                <a:solidFill>
                  <a:schemeClr val="accent4">
                    <a:lumMod val="60000"/>
                    <a:lumOff val="40000"/>
                  </a:schemeClr>
                </a:solidFill>
              </a:ln>
              <a:effectLst/>
            </c:spPr>
          </c:marker>
          <c:cat>
            <c:numRef>
              <c:f>Expenses!$B$4:$V$4</c:f>
              <c:numCache>
                <c:formatCode>General</c:formatCode>
                <c:ptCount val="5"/>
                <c:pt idx="0">
                  <c:v>2025</c:v>
                </c:pt>
                <c:pt idx="1">
                  <c:v>2026</c:v>
                </c:pt>
                <c:pt idx="2">
                  <c:v>2027</c:v>
                </c:pt>
                <c:pt idx="3">
                  <c:v>2028</c:v>
                </c:pt>
                <c:pt idx="4">
                  <c:v>2029</c:v>
                </c:pt>
              </c:numCache>
            </c:numRef>
          </c:cat>
          <c:val>
            <c:numRef>
              <c:f>Expenses!$B$24:$V$24</c:f>
              <c:numCache>
                <c:formatCode>_(* #,##0.00_);_(* \(#,##0.00\);_(* "-"??_);_(@_)</c:formatCode>
                <c:ptCount val="5"/>
                <c:pt idx="0">
                  <c:v>20700220</c:v>
                </c:pt>
                <c:pt idx="1">
                  <c:v>17173500</c:v>
                </c:pt>
                <c:pt idx="2">
                  <c:v>0</c:v>
                </c:pt>
                <c:pt idx="3">
                  <c:v>0</c:v>
                </c:pt>
                <c:pt idx="4">
                  <c:v>0</c:v>
                </c:pt>
              </c:numCache>
            </c:numRef>
          </c:val>
          <c:smooth val="0"/>
          <c:extLst>
            <c:ext xmlns:c16="http://schemas.microsoft.com/office/drawing/2014/chart" uri="{C3380CC4-5D6E-409C-BE32-E72D297353CC}">
              <c16:uniqueId val="{00000004-DB8B-48D1-B348-0BC48AC05AB0}"/>
            </c:ext>
          </c:extLst>
        </c:ser>
        <c:dLbls>
          <c:showLegendKey val="0"/>
          <c:showVal val="0"/>
          <c:showCatName val="0"/>
          <c:showSerName val="0"/>
          <c:showPercent val="0"/>
          <c:showBubbleSize val="0"/>
        </c:dLbls>
        <c:marker val="1"/>
        <c:smooth val="0"/>
        <c:axId val="805913824"/>
        <c:axId val="805903744"/>
      </c:lineChart>
      <c:lineChart>
        <c:grouping val="standard"/>
        <c:varyColors val="0"/>
        <c:ser>
          <c:idx val="0"/>
          <c:order val="0"/>
          <c:tx>
            <c:strRef>
              <c:f>Expenses!$A$17</c:f>
              <c:strCache>
                <c:ptCount val="1"/>
                <c:pt idx="0">
                  <c:v>Market Knowledge/Research Cost</c:v>
                </c:pt>
              </c:strCache>
            </c:strRef>
          </c:tx>
          <c:spPr>
            <a:ln w="31750" cap="rnd">
              <a:solidFill>
                <a:schemeClr val="accent1"/>
              </a:solidFill>
              <a:round/>
            </a:ln>
            <a:effectLst/>
          </c:spPr>
          <c:marker>
            <c:symbol val="circle"/>
            <c:size val="17"/>
            <c:spPr>
              <a:solidFill>
                <a:schemeClr val="accent1"/>
              </a:solidFill>
              <a:ln>
                <a:noFill/>
              </a:ln>
              <a:effectLst/>
            </c:spPr>
          </c:marker>
          <c:cat>
            <c:numRef>
              <c:f>Expenses!$B$4:$V$4</c:f>
              <c:numCache>
                <c:formatCode>General</c:formatCode>
                <c:ptCount val="5"/>
                <c:pt idx="0">
                  <c:v>2025</c:v>
                </c:pt>
                <c:pt idx="1">
                  <c:v>2026</c:v>
                </c:pt>
                <c:pt idx="2">
                  <c:v>2027</c:v>
                </c:pt>
                <c:pt idx="3">
                  <c:v>2028</c:v>
                </c:pt>
                <c:pt idx="4">
                  <c:v>2029</c:v>
                </c:pt>
              </c:numCache>
            </c:numRef>
          </c:cat>
          <c:val>
            <c:numRef>
              <c:f>Expenses!$B$17:$V$17</c:f>
              <c:numCache>
                <c:formatCode>_(* #,##0.00_);_(* \(#,##0.00\);_(* "-"??_);_(@_)</c:formatCode>
                <c:ptCount val="5"/>
                <c:pt idx="0">
                  <c:v>150000</c:v>
                </c:pt>
                <c:pt idx="1">
                  <c:v>0</c:v>
                </c:pt>
                <c:pt idx="2">
                  <c:v>0</c:v>
                </c:pt>
                <c:pt idx="3">
                  <c:v>0</c:v>
                </c:pt>
                <c:pt idx="4">
                  <c:v>0</c:v>
                </c:pt>
              </c:numCache>
            </c:numRef>
          </c:val>
          <c:smooth val="0"/>
          <c:extLst>
            <c:ext xmlns:c16="http://schemas.microsoft.com/office/drawing/2014/chart" uri="{C3380CC4-5D6E-409C-BE32-E72D297353CC}">
              <c16:uniqueId val="{00000000-DB8B-48D1-B348-0BC48AC05AB0}"/>
            </c:ext>
          </c:extLst>
        </c:ser>
        <c:ser>
          <c:idx val="5"/>
          <c:order val="5"/>
          <c:tx>
            <c:strRef>
              <c:f>Expenses!$A$28</c:f>
              <c:strCache>
                <c:ptCount val="1"/>
                <c:pt idx="0">
                  <c:v>Marketing Cost </c:v>
                </c:pt>
              </c:strCache>
            </c:strRef>
          </c:tx>
          <c:spPr>
            <a:ln w="31750" cap="rnd">
              <a:solidFill>
                <a:schemeClr val="accent6"/>
              </a:solidFill>
              <a:round/>
            </a:ln>
            <a:effectLst/>
          </c:spPr>
          <c:marker>
            <c:symbol val="circle"/>
            <c:size val="17"/>
            <c:spPr>
              <a:solidFill>
                <a:schemeClr val="accent6"/>
              </a:solidFill>
              <a:ln>
                <a:noFill/>
              </a:ln>
              <a:effectLst/>
            </c:spPr>
          </c:marker>
          <c:cat>
            <c:numRef>
              <c:f>Expenses!$B$4:$V$4</c:f>
              <c:numCache>
                <c:formatCode>General</c:formatCode>
                <c:ptCount val="5"/>
                <c:pt idx="0">
                  <c:v>2025</c:v>
                </c:pt>
                <c:pt idx="1">
                  <c:v>2026</c:v>
                </c:pt>
                <c:pt idx="2">
                  <c:v>2027</c:v>
                </c:pt>
                <c:pt idx="3">
                  <c:v>2028</c:v>
                </c:pt>
                <c:pt idx="4">
                  <c:v>2029</c:v>
                </c:pt>
              </c:numCache>
            </c:numRef>
          </c:cat>
          <c:val>
            <c:numRef>
              <c:f>Expenses!$B$28:$V$28</c:f>
              <c:numCache>
                <c:formatCode>_(* #,##0.00_);_(* \(#,##0.00\);_(* "-"??_);_(@_)</c:formatCode>
                <c:ptCount val="5"/>
                <c:pt idx="0">
                  <c:v>100000</c:v>
                </c:pt>
                <c:pt idx="1">
                  <c:v>80000</c:v>
                </c:pt>
                <c:pt idx="2">
                  <c:v>40000</c:v>
                </c:pt>
                <c:pt idx="3">
                  <c:v>40000</c:v>
                </c:pt>
                <c:pt idx="4">
                  <c:v>40000</c:v>
                </c:pt>
              </c:numCache>
            </c:numRef>
          </c:val>
          <c:smooth val="0"/>
          <c:extLst>
            <c:ext xmlns:c16="http://schemas.microsoft.com/office/drawing/2014/chart" uri="{C3380CC4-5D6E-409C-BE32-E72D297353CC}">
              <c16:uniqueId val="{00000005-DB8B-48D1-B348-0BC48AC05AB0}"/>
            </c:ext>
          </c:extLst>
        </c:ser>
        <c:ser>
          <c:idx val="6"/>
          <c:order val="6"/>
          <c:tx>
            <c:strRef>
              <c:f>Expenses!$A$29</c:f>
              <c:strCache>
                <c:ptCount val="1"/>
                <c:pt idx="0">
                  <c:v>Staffing and Training Cost</c:v>
                </c:pt>
              </c:strCache>
            </c:strRef>
          </c:tx>
          <c:spPr>
            <a:ln w="31750" cap="rnd">
              <a:solidFill>
                <a:schemeClr val="accent6">
                  <a:lumMod val="40000"/>
                  <a:lumOff val="60000"/>
                </a:schemeClr>
              </a:solidFill>
              <a:round/>
            </a:ln>
            <a:effectLst/>
          </c:spPr>
          <c:marker>
            <c:symbol val="circle"/>
            <c:size val="17"/>
            <c:spPr>
              <a:solidFill>
                <a:schemeClr val="accent6">
                  <a:lumMod val="60000"/>
                  <a:lumOff val="40000"/>
                </a:schemeClr>
              </a:solidFill>
              <a:ln>
                <a:solidFill>
                  <a:schemeClr val="accent6">
                    <a:lumMod val="40000"/>
                    <a:lumOff val="60000"/>
                  </a:schemeClr>
                </a:solidFill>
              </a:ln>
              <a:effectLst/>
            </c:spPr>
          </c:marker>
          <c:cat>
            <c:numRef>
              <c:f>Expenses!$B$4:$V$4</c:f>
              <c:numCache>
                <c:formatCode>General</c:formatCode>
                <c:ptCount val="5"/>
                <c:pt idx="0">
                  <c:v>2025</c:v>
                </c:pt>
                <c:pt idx="1">
                  <c:v>2026</c:v>
                </c:pt>
                <c:pt idx="2">
                  <c:v>2027</c:v>
                </c:pt>
                <c:pt idx="3">
                  <c:v>2028</c:v>
                </c:pt>
                <c:pt idx="4">
                  <c:v>2029</c:v>
                </c:pt>
              </c:numCache>
            </c:numRef>
          </c:cat>
          <c:val>
            <c:numRef>
              <c:f>Expenses!$B$29:$V$29</c:f>
              <c:numCache>
                <c:formatCode>_(* #,##0.00_);_(* \(#,##0.00\);_(* "-"??_);_(@_)</c:formatCode>
                <c:ptCount val="5"/>
                <c:pt idx="0">
                  <c:v>80000</c:v>
                </c:pt>
                <c:pt idx="1">
                  <c:v>40000</c:v>
                </c:pt>
                <c:pt idx="2">
                  <c:v>10000</c:v>
                </c:pt>
                <c:pt idx="3">
                  <c:v>10000</c:v>
                </c:pt>
                <c:pt idx="4">
                  <c:v>0</c:v>
                </c:pt>
              </c:numCache>
            </c:numRef>
          </c:val>
          <c:smooth val="0"/>
          <c:extLst>
            <c:ext xmlns:c16="http://schemas.microsoft.com/office/drawing/2014/chart" uri="{C3380CC4-5D6E-409C-BE32-E72D297353CC}">
              <c16:uniqueId val="{00000006-DB8B-48D1-B348-0BC48AC05AB0}"/>
            </c:ext>
          </c:extLst>
        </c:ser>
        <c:ser>
          <c:idx val="7"/>
          <c:order val="7"/>
          <c:tx>
            <c:strRef>
              <c:f>Expenses!$A$30</c:f>
              <c:strCache>
                <c:ptCount val="1"/>
                <c:pt idx="0">
                  <c:v>Technology Investment Cost</c:v>
                </c:pt>
              </c:strCache>
            </c:strRef>
          </c:tx>
          <c:spPr>
            <a:ln w="31750" cap="rnd">
              <a:solidFill>
                <a:schemeClr val="accent3">
                  <a:lumMod val="75000"/>
                </a:schemeClr>
              </a:solidFill>
              <a:round/>
            </a:ln>
            <a:effectLst/>
          </c:spPr>
          <c:marker>
            <c:symbol val="circle"/>
            <c:size val="17"/>
            <c:spPr>
              <a:solidFill>
                <a:schemeClr val="accent3">
                  <a:lumMod val="75000"/>
                </a:schemeClr>
              </a:solidFill>
              <a:ln>
                <a:solidFill>
                  <a:schemeClr val="accent3">
                    <a:lumMod val="75000"/>
                  </a:schemeClr>
                </a:solidFill>
              </a:ln>
              <a:effectLst/>
            </c:spPr>
          </c:marker>
          <c:cat>
            <c:numRef>
              <c:f>Expenses!$B$4:$V$4</c:f>
              <c:numCache>
                <c:formatCode>General</c:formatCode>
                <c:ptCount val="5"/>
                <c:pt idx="0">
                  <c:v>2025</c:v>
                </c:pt>
                <c:pt idx="1">
                  <c:v>2026</c:v>
                </c:pt>
                <c:pt idx="2">
                  <c:v>2027</c:v>
                </c:pt>
                <c:pt idx="3">
                  <c:v>2028</c:v>
                </c:pt>
                <c:pt idx="4">
                  <c:v>2029</c:v>
                </c:pt>
              </c:numCache>
            </c:numRef>
          </c:cat>
          <c:val>
            <c:numRef>
              <c:f>Expenses!$B$30:$V$30</c:f>
              <c:numCache>
                <c:formatCode>_(* #,##0.00_);_(* \(#,##0.00\);_(* "-"??_);_(@_)</c:formatCode>
                <c:ptCount val="5"/>
                <c:pt idx="0">
                  <c:v>50000</c:v>
                </c:pt>
                <c:pt idx="1">
                  <c:v>50000</c:v>
                </c:pt>
                <c:pt idx="2">
                  <c:v>0</c:v>
                </c:pt>
                <c:pt idx="3">
                  <c:v>0</c:v>
                </c:pt>
                <c:pt idx="4">
                  <c:v>0</c:v>
                </c:pt>
              </c:numCache>
            </c:numRef>
          </c:val>
          <c:smooth val="0"/>
          <c:extLst>
            <c:ext xmlns:c16="http://schemas.microsoft.com/office/drawing/2014/chart" uri="{C3380CC4-5D6E-409C-BE32-E72D297353CC}">
              <c16:uniqueId val="{00000007-DB8B-48D1-B348-0BC48AC05AB0}"/>
            </c:ext>
          </c:extLst>
        </c:ser>
        <c:ser>
          <c:idx val="8"/>
          <c:order val="8"/>
          <c:tx>
            <c:strRef>
              <c:f>Expenses!$A$31</c:f>
              <c:strCache>
                <c:ptCount val="1"/>
                <c:pt idx="0">
                  <c:v>Sustainability practices Cost</c:v>
                </c:pt>
              </c:strCache>
            </c:strRef>
          </c:tx>
          <c:spPr>
            <a:ln w="31750" cap="rnd">
              <a:solidFill>
                <a:schemeClr val="accent3">
                  <a:lumMod val="60000"/>
                </a:schemeClr>
              </a:solidFill>
              <a:round/>
            </a:ln>
            <a:effectLst/>
          </c:spPr>
          <c:marker>
            <c:symbol val="circle"/>
            <c:size val="17"/>
            <c:spPr>
              <a:solidFill>
                <a:schemeClr val="accent3">
                  <a:lumMod val="60000"/>
                </a:schemeClr>
              </a:solidFill>
              <a:ln>
                <a:noFill/>
              </a:ln>
              <a:effectLst/>
            </c:spPr>
          </c:marker>
          <c:cat>
            <c:numRef>
              <c:f>Expenses!$B$4:$V$4</c:f>
              <c:numCache>
                <c:formatCode>General</c:formatCode>
                <c:ptCount val="5"/>
                <c:pt idx="0">
                  <c:v>2025</c:v>
                </c:pt>
                <c:pt idx="1">
                  <c:v>2026</c:v>
                </c:pt>
                <c:pt idx="2">
                  <c:v>2027</c:v>
                </c:pt>
                <c:pt idx="3">
                  <c:v>2028</c:v>
                </c:pt>
                <c:pt idx="4">
                  <c:v>2029</c:v>
                </c:pt>
              </c:numCache>
            </c:numRef>
          </c:cat>
          <c:val>
            <c:numRef>
              <c:f>Expenses!$B$31:$V$31</c:f>
              <c:numCache>
                <c:formatCode>_(* #,##0.00_);_(* \(#,##0.00\);_(* "-"??_);_(@_)</c:formatCode>
                <c:ptCount val="5"/>
                <c:pt idx="0">
                  <c:v>25000</c:v>
                </c:pt>
                <c:pt idx="1">
                  <c:v>20000</c:v>
                </c:pt>
                <c:pt idx="2">
                  <c:v>10000</c:v>
                </c:pt>
                <c:pt idx="3">
                  <c:v>10000</c:v>
                </c:pt>
                <c:pt idx="4">
                  <c:v>10000</c:v>
                </c:pt>
              </c:numCache>
            </c:numRef>
          </c:val>
          <c:smooth val="0"/>
          <c:extLst>
            <c:ext xmlns:c16="http://schemas.microsoft.com/office/drawing/2014/chart" uri="{C3380CC4-5D6E-409C-BE32-E72D297353CC}">
              <c16:uniqueId val="{00000008-DB8B-48D1-B348-0BC48AC05AB0}"/>
            </c:ext>
          </c:extLst>
        </c:ser>
        <c:dLbls>
          <c:showLegendKey val="0"/>
          <c:showVal val="0"/>
          <c:showCatName val="0"/>
          <c:showSerName val="0"/>
          <c:showPercent val="0"/>
          <c:showBubbleSize val="0"/>
        </c:dLbls>
        <c:marker val="1"/>
        <c:smooth val="0"/>
        <c:axId val="1286343392"/>
        <c:axId val="1286342432"/>
      </c:lineChart>
      <c:catAx>
        <c:axId val="8059138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05903744"/>
        <c:crosses val="autoZero"/>
        <c:auto val="1"/>
        <c:lblAlgn val="ctr"/>
        <c:lblOffset val="100"/>
        <c:noMultiLvlLbl val="0"/>
      </c:catAx>
      <c:valAx>
        <c:axId val="80590374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Acquisition</a:t>
                </a:r>
                <a:r>
                  <a:rPr lang="en-US" baseline="0"/>
                  <a:t> Expenses</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 #,##0_);_(* \(#,##0\);_(* &quot;-&quot;_);_(@_)" sourceLinked="0"/>
        <c:majorTickMark val="out"/>
        <c:minorTickMark val="none"/>
        <c:tickLblPos val="nextTo"/>
        <c:spPr>
          <a:solidFill>
            <a:schemeClr val="accent1">
              <a:lumMod val="20000"/>
              <a:lumOff val="80000"/>
            </a:schemeClr>
          </a:solidFill>
          <a:ln>
            <a:solidFill>
              <a:schemeClr val="accent1">
                <a:lumMod val="20000"/>
                <a:lumOff val="80000"/>
              </a:schemeClr>
            </a:solid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05913824"/>
        <c:crosses val="autoZero"/>
        <c:crossBetween val="between"/>
      </c:valAx>
      <c:valAx>
        <c:axId val="1286342432"/>
        <c:scaling>
          <c:orientation val="minMax"/>
        </c:scaling>
        <c:delete val="0"/>
        <c:axPos val="r"/>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Exploitation Expenses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 #,##0_);_(* \(#,##0\);_(* &quot;-&quot;_);_(@_)" sourceLinked="0"/>
        <c:majorTickMark val="out"/>
        <c:minorTickMark val="none"/>
        <c:tickLblPos val="nextTo"/>
        <c:spPr>
          <a:solidFill>
            <a:schemeClr val="accent3">
              <a:lumMod val="20000"/>
              <a:lumOff val="80000"/>
            </a:schemeClr>
          </a:solid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86343392"/>
        <c:crosses val="max"/>
        <c:crossBetween val="between"/>
      </c:valAx>
      <c:catAx>
        <c:axId val="1286343392"/>
        <c:scaling>
          <c:orientation val="minMax"/>
        </c:scaling>
        <c:delete val="1"/>
        <c:axPos val="b"/>
        <c:numFmt formatCode="General" sourceLinked="1"/>
        <c:majorTickMark val="out"/>
        <c:minorTickMark val="none"/>
        <c:tickLblPos val="nextTo"/>
        <c:crossAx val="1286342432"/>
        <c:crosses val="autoZero"/>
        <c:auto val="1"/>
        <c:lblAlgn val="ctr"/>
        <c:lblOffset val="100"/>
        <c:noMultiLvlLbl val="0"/>
      </c:cat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baseline="0">
                <a:solidFill>
                  <a:sysClr val="windowText" lastClr="000000"/>
                </a:solidFill>
                <a:latin typeface="+mn-lt"/>
                <a:ea typeface="+mn-ea"/>
                <a:cs typeface="+mn-cs"/>
              </a:defRPr>
            </a:pPr>
            <a:r>
              <a:rPr lang="en-US"/>
              <a:t>Hotel Opening Expenses</a:t>
            </a:r>
          </a:p>
        </c:rich>
      </c:tx>
      <c:overlay val="0"/>
      <c:spPr>
        <a:noFill/>
        <a:ln>
          <a:noFill/>
        </a:ln>
        <a:effectLst/>
      </c:spPr>
      <c:txPr>
        <a:bodyPr rot="0" spcFirstLastPara="1" vertOverflow="ellipsis" vert="horz" wrap="square" anchor="ctr" anchorCtr="1"/>
        <a:lstStyle/>
        <a:p>
          <a:pPr>
            <a:defRPr sz="1260" b="1" i="0" u="none" strike="noStrike" kern="120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Expenses!$A$9</c:f>
              <c:strCache>
                <c:ptCount val="1"/>
                <c:pt idx="0">
                  <c:v>     Room Refurbishements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Expenses!$B$9:$V$9</c:f>
              <c:numCache>
                <c:formatCode>_(* #,##0.00_);_(* \(#,##0.00\);_(* "-"??_);_(@_)</c:formatCode>
                <c:ptCount val="5"/>
                <c:pt idx="0">
                  <c:v>3000000</c:v>
                </c:pt>
                <c:pt idx="1">
                  <c:v>0</c:v>
                </c:pt>
              </c:numCache>
            </c:numRef>
          </c:val>
          <c:extLst>
            <c:ext xmlns:c16="http://schemas.microsoft.com/office/drawing/2014/chart" uri="{C3380CC4-5D6E-409C-BE32-E72D297353CC}">
              <c16:uniqueId val="{00000000-D4A4-4FC2-982D-1BB7B0BC3BDA}"/>
            </c:ext>
          </c:extLst>
        </c:ser>
        <c:ser>
          <c:idx val="1"/>
          <c:order val="1"/>
          <c:tx>
            <c:strRef>
              <c:f>Expenses!$A$10</c:f>
              <c:strCache>
                <c:ptCount val="1"/>
                <c:pt idx="0">
                  <c:v>     Lobby and Public Spaces</c:v>
                </c:pt>
              </c:strCache>
            </c:strRef>
          </c:tx>
          <c:spPr>
            <a:solidFill>
              <a:schemeClr val="accent2">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Expenses!$B$10:$V$10</c:f>
              <c:numCache>
                <c:formatCode>_(* #,##0.00_);_(* \(#,##0.00\);_(* "-"??_);_(@_)</c:formatCode>
                <c:ptCount val="5"/>
                <c:pt idx="0">
                  <c:v>1500000</c:v>
                </c:pt>
                <c:pt idx="1">
                  <c:v>0</c:v>
                </c:pt>
                <c:pt idx="2">
                  <c:v>0</c:v>
                </c:pt>
                <c:pt idx="3">
                  <c:v>0</c:v>
                </c:pt>
                <c:pt idx="4">
                  <c:v>0</c:v>
                </c:pt>
              </c:numCache>
            </c:numRef>
          </c:val>
          <c:extLst>
            <c:ext xmlns:c16="http://schemas.microsoft.com/office/drawing/2014/chart" uri="{C3380CC4-5D6E-409C-BE32-E72D297353CC}">
              <c16:uniqueId val="{00000001-D4A4-4FC2-982D-1BB7B0BC3BDA}"/>
            </c:ext>
          </c:extLst>
        </c:ser>
        <c:ser>
          <c:idx val="2"/>
          <c:order val="2"/>
          <c:tx>
            <c:strRef>
              <c:f>Expenses!$A$11</c:f>
              <c:strCache>
                <c:ptCount val="1"/>
                <c:pt idx="0">
                  <c:v>Training and Transition</c:v>
                </c:pt>
              </c:strCache>
            </c:strRef>
          </c:tx>
          <c:spPr>
            <a:solidFill>
              <a:schemeClr val="accent3">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Expenses!$B$11:$V$11</c:f>
              <c:numCache>
                <c:formatCode>_(* #,##0.00_);_(* \(#,##0.00\);_(* "-"??_);_(@_)</c:formatCode>
                <c:ptCount val="5"/>
                <c:pt idx="0">
                  <c:v>150000</c:v>
                </c:pt>
                <c:pt idx="1">
                  <c:v>0</c:v>
                </c:pt>
                <c:pt idx="2">
                  <c:v>0</c:v>
                </c:pt>
                <c:pt idx="3">
                  <c:v>0</c:v>
                </c:pt>
                <c:pt idx="4">
                  <c:v>0</c:v>
                </c:pt>
              </c:numCache>
            </c:numRef>
          </c:val>
          <c:extLst>
            <c:ext xmlns:c16="http://schemas.microsoft.com/office/drawing/2014/chart" uri="{C3380CC4-5D6E-409C-BE32-E72D297353CC}">
              <c16:uniqueId val="{00000002-D4A4-4FC2-982D-1BB7B0BC3BDA}"/>
            </c:ext>
          </c:extLst>
        </c:ser>
        <c:ser>
          <c:idx val="3"/>
          <c:order val="3"/>
          <c:tx>
            <c:strRef>
              <c:f>Expenses!$A$12</c:f>
              <c:strCache>
                <c:ptCount val="1"/>
                <c:pt idx="0">
                  <c:v>Management Fees </c:v>
                </c:pt>
              </c:strCache>
            </c:strRef>
          </c:tx>
          <c:spPr>
            <a:solidFill>
              <a:schemeClr val="accent4">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Expenses!$B$12:$V$12</c:f>
              <c:numCache>
                <c:formatCode>_(* #,##0.00_);_(* \(#,##0.00\);_(* "-"??_);_(@_)</c:formatCode>
                <c:ptCount val="5"/>
                <c:pt idx="0">
                  <c:v>1794823.4758346006</c:v>
                </c:pt>
                <c:pt idx="1">
                  <c:v>1811009.807798872</c:v>
                </c:pt>
                <c:pt idx="2">
                  <c:v>1827196.1397631431</c:v>
                </c:pt>
                <c:pt idx="3">
                  <c:v>1843382.471727415</c:v>
                </c:pt>
                <c:pt idx="4">
                  <c:v>1859568.8036916864</c:v>
                </c:pt>
              </c:numCache>
            </c:numRef>
          </c:val>
          <c:extLst>
            <c:ext xmlns:c16="http://schemas.microsoft.com/office/drawing/2014/chart" uri="{C3380CC4-5D6E-409C-BE32-E72D297353CC}">
              <c16:uniqueId val="{00000003-D4A4-4FC2-982D-1BB7B0BC3BDA}"/>
            </c:ext>
          </c:extLst>
        </c:ser>
        <c:dLbls>
          <c:dLblPos val="inEnd"/>
          <c:showLegendKey val="0"/>
          <c:showVal val="1"/>
          <c:showCatName val="0"/>
          <c:showSerName val="0"/>
          <c:showPercent val="0"/>
          <c:showBubbleSize val="0"/>
        </c:dLbls>
        <c:gapWidth val="65"/>
        <c:axId val="789194944"/>
        <c:axId val="789200704"/>
      </c:barChart>
      <c:catAx>
        <c:axId val="7891949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50" b="0" i="0" u="none" strike="noStrike" kern="1200" cap="all" baseline="0">
                <a:solidFill>
                  <a:sysClr val="windowText" lastClr="000000"/>
                </a:solidFill>
                <a:latin typeface="+mn-lt"/>
                <a:ea typeface="+mn-ea"/>
                <a:cs typeface="+mn-cs"/>
              </a:defRPr>
            </a:pPr>
            <a:endParaRPr lang="en-US"/>
          </a:p>
        </c:txPr>
        <c:crossAx val="789200704"/>
        <c:crosses val="autoZero"/>
        <c:auto val="1"/>
        <c:lblAlgn val="ctr"/>
        <c:lblOffset val="100"/>
        <c:noMultiLvlLbl val="0"/>
      </c:catAx>
      <c:valAx>
        <c:axId val="78920070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00_);_(* \(#,##0.00\);_(* &quot;-&quot;??_);_(@_)" sourceLinked="1"/>
        <c:majorTickMark val="none"/>
        <c:minorTickMark val="none"/>
        <c:tickLblPos val="nextTo"/>
        <c:crossAx val="78919494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1050">
          <a:solidFill>
            <a:sysClr val="windowText" lastClr="000000"/>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a:t>Marrakech Acquisition Expenses</a:t>
            </a:r>
          </a:p>
        </c:rich>
      </c:tx>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autoTitleDeleted val="0"/>
    <c:plotArea>
      <c:layout/>
      <c:barChart>
        <c:barDir val="col"/>
        <c:grouping val="percentStacked"/>
        <c:varyColors val="0"/>
        <c:ser>
          <c:idx val="0"/>
          <c:order val="0"/>
          <c:tx>
            <c:strRef>
              <c:f>Expenses!$A$21</c:f>
              <c:strCache>
                <c:ptCount val="1"/>
                <c:pt idx="0">
                  <c:v>Modern Appartments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Expenses!$B$21:$V$21</c:f>
              <c:numCache>
                <c:formatCode>_(* #,##0.00_);_(* \(#,##0.00\);_(* "-"??_);_(@_)</c:formatCode>
                <c:ptCount val="5"/>
                <c:pt idx="1">
                  <c:v>22898000</c:v>
                </c:pt>
                <c:pt idx="2">
                  <c:v>0</c:v>
                </c:pt>
                <c:pt idx="3">
                  <c:v>0</c:v>
                </c:pt>
                <c:pt idx="4">
                  <c:v>0</c:v>
                </c:pt>
              </c:numCache>
            </c:numRef>
          </c:val>
          <c:extLst>
            <c:ext xmlns:c16="http://schemas.microsoft.com/office/drawing/2014/chart" uri="{C3380CC4-5D6E-409C-BE32-E72D297353CC}">
              <c16:uniqueId val="{00000000-372D-4070-92EA-D3C98741BD7F}"/>
            </c:ext>
          </c:extLst>
        </c:ser>
        <c:ser>
          <c:idx val="1"/>
          <c:order val="1"/>
          <c:tx>
            <c:strRef>
              <c:f>Expenses!$A$22</c:f>
              <c:strCache>
                <c:ptCount val="1"/>
                <c:pt idx="0">
                  <c:v>Villas</c:v>
                </c:pt>
              </c:strCache>
            </c:strRef>
          </c:tx>
          <c:spPr>
            <a:solidFill>
              <a:schemeClr val="accent2">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Expenses!$B$22:$V$22</c:f>
              <c:numCache>
                <c:formatCode>General</c:formatCode>
                <c:ptCount val="5"/>
                <c:pt idx="0" formatCode="_(* #,##0.00_);_(* \(#,##0.00\);_(* &quot;-&quot;??_);_(@_)">
                  <c:v>12840000.000000002</c:v>
                </c:pt>
                <c:pt idx="2" formatCode="_(* #,##0.00_);_(* \(#,##0.00\);_(* &quot;-&quot;??_);_(@_)">
                  <c:v>0</c:v>
                </c:pt>
                <c:pt idx="3" formatCode="_(* #,##0.00_);_(* \(#,##0.00\);_(* &quot;-&quot;??_);_(@_)">
                  <c:v>0</c:v>
                </c:pt>
                <c:pt idx="4" formatCode="_(* #,##0.00_);_(* \(#,##0.00\);_(* &quot;-&quot;??_);_(@_)">
                  <c:v>0</c:v>
                </c:pt>
              </c:numCache>
            </c:numRef>
          </c:val>
          <c:extLst>
            <c:ext xmlns:c16="http://schemas.microsoft.com/office/drawing/2014/chart" uri="{C3380CC4-5D6E-409C-BE32-E72D297353CC}">
              <c16:uniqueId val="{00000001-372D-4070-92EA-D3C98741BD7F}"/>
            </c:ext>
          </c:extLst>
        </c:ser>
        <c:ser>
          <c:idx val="2"/>
          <c:order val="2"/>
          <c:tx>
            <c:strRef>
              <c:f>Expenses!$A$23</c:f>
              <c:strCache>
                <c:ptCount val="1"/>
                <c:pt idx="0">
                  <c:v>Luxury Properties</c:v>
                </c:pt>
              </c:strCache>
            </c:strRef>
          </c:tx>
          <c:spPr>
            <a:solidFill>
              <a:schemeClr val="accent3">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Expenses!$B$23:$V$23</c:f>
              <c:numCache>
                <c:formatCode>_(* #,##0.00_);_(* \(#,##0.00\);_(* "-"??_);_(@_)</c:formatCode>
                <c:ptCount val="5"/>
                <c:pt idx="1">
                  <c:v>22898000</c:v>
                </c:pt>
                <c:pt idx="2">
                  <c:v>0</c:v>
                </c:pt>
                <c:pt idx="3">
                  <c:v>0</c:v>
                </c:pt>
                <c:pt idx="4">
                  <c:v>0</c:v>
                </c:pt>
              </c:numCache>
            </c:numRef>
          </c:val>
          <c:extLst>
            <c:ext xmlns:c16="http://schemas.microsoft.com/office/drawing/2014/chart" uri="{C3380CC4-5D6E-409C-BE32-E72D297353CC}">
              <c16:uniqueId val="{00000002-372D-4070-92EA-D3C98741BD7F}"/>
            </c:ext>
          </c:extLst>
        </c:ser>
        <c:dLbls>
          <c:dLblPos val="ctr"/>
          <c:showLegendKey val="0"/>
          <c:showVal val="1"/>
          <c:showCatName val="0"/>
          <c:showSerName val="0"/>
          <c:showPercent val="0"/>
          <c:showBubbleSize val="0"/>
        </c:dLbls>
        <c:gapWidth val="150"/>
        <c:overlap val="100"/>
        <c:axId val="1119602015"/>
        <c:axId val="1119603935"/>
      </c:barChart>
      <c:catAx>
        <c:axId val="111960201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0" i="0" u="none" strike="noStrike" kern="1200" cap="all" baseline="0">
                <a:solidFill>
                  <a:sysClr val="windowText" lastClr="000000"/>
                </a:solidFill>
                <a:latin typeface="+mn-lt"/>
                <a:ea typeface="+mn-ea"/>
                <a:cs typeface="+mn-cs"/>
              </a:defRPr>
            </a:pPr>
            <a:endParaRPr lang="en-US"/>
          </a:p>
        </c:txPr>
        <c:crossAx val="1119603935"/>
        <c:crosses val="autoZero"/>
        <c:auto val="1"/>
        <c:lblAlgn val="ctr"/>
        <c:lblOffset val="100"/>
        <c:noMultiLvlLbl val="0"/>
      </c:catAx>
      <c:valAx>
        <c:axId val="111960393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119602015"/>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a:t>Casablanca Acquisition Expenses</a:t>
            </a:r>
          </a:p>
        </c:rich>
      </c:tx>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autoTitleDeleted val="0"/>
    <c:plotArea>
      <c:layout/>
      <c:barChart>
        <c:barDir val="col"/>
        <c:grouping val="percentStacked"/>
        <c:varyColors val="0"/>
        <c:ser>
          <c:idx val="0"/>
          <c:order val="0"/>
          <c:tx>
            <c:strRef>
              <c:f>Expenses!$A$25</c:f>
              <c:strCache>
                <c:ptCount val="1"/>
                <c:pt idx="0">
                  <c:v>Modern Appartments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Expenses!$B$25:$V$25</c:f>
              <c:numCache>
                <c:formatCode>General</c:formatCode>
                <c:ptCount val="5"/>
                <c:pt idx="0" formatCode="_(* #,##0.00_);_(* \(#,##0.00\);_(* &quot;-&quot;??_);_(@_)">
                  <c:v>9991660</c:v>
                </c:pt>
                <c:pt idx="2" formatCode="_(* #,##0.00_);_(* \(#,##0.00\);_(* &quot;-&quot;??_);_(@_)">
                  <c:v>0</c:v>
                </c:pt>
                <c:pt idx="3" formatCode="_(* #,##0.00_);_(* \(#,##0.00\);_(* &quot;-&quot;??_);_(@_)">
                  <c:v>0</c:v>
                </c:pt>
                <c:pt idx="4" formatCode="_(* #,##0.00_);_(* \(#,##0.00\);_(* &quot;-&quot;??_);_(@_)">
                  <c:v>0</c:v>
                </c:pt>
              </c:numCache>
            </c:numRef>
          </c:val>
          <c:extLst>
            <c:ext xmlns:c16="http://schemas.microsoft.com/office/drawing/2014/chart" uri="{C3380CC4-5D6E-409C-BE32-E72D297353CC}">
              <c16:uniqueId val="{00000000-5596-4F18-89D3-706DC7A36638}"/>
            </c:ext>
          </c:extLst>
        </c:ser>
        <c:ser>
          <c:idx val="1"/>
          <c:order val="1"/>
          <c:tx>
            <c:strRef>
              <c:f>Expenses!$A$26</c:f>
              <c:strCache>
                <c:ptCount val="1"/>
                <c:pt idx="0">
                  <c:v>Villas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Expenses!$B$26:$V$26</c:f>
              <c:numCache>
                <c:formatCode>_(* #,##0.00_);_(* \(#,##0.00\);_(* "-"??_);_(@_)</c:formatCode>
                <c:ptCount val="5"/>
                <c:pt idx="0">
                  <c:v>10708560</c:v>
                </c:pt>
                <c:pt idx="1">
                  <c:v>0</c:v>
                </c:pt>
                <c:pt idx="2">
                  <c:v>0</c:v>
                </c:pt>
                <c:pt idx="3">
                  <c:v>0</c:v>
                </c:pt>
                <c:pt idx="4">
                  <c:v>0</c:v>
                </c:pt>
              </c:numCache>
            </c:numRef>
          </c:val>
          <c:extLst>
            <c:ext xmlns:c16="http://schemas.microsoft.com/office/drawing/2014/chart" uri="{C3380CC4-5D6E-409C-BE32-E72D297353CC}">
              <c16:uniqueId val="{00000001-5596-4F18-89D3-706DC7A36638}"/>
            </c:ext>
          </c:extLst>
        </c:ser>
        <c:ser>
          <c:idx val="2"/>
          <c:order val="2"/>
          <c:tx>
            <c:strRef>
              <c:f>Expenses!$A$27</c:f>
              <c:strCache>
                <c:ptCount val="1"/>
                <c:pt idx="0">
                  <c:v>Luxury Properties</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Expenses!$B$27:$V$27</c:f>
              <c:numCache>
                <c:formatCode>_(* #,##0.00_);_(* \(#,##0.00\);_(* "-"??_);_(@_)</c:formatCode>
                <c:ptCount val="5"/>
                <c:pt idx="1">
                  <c:v>17173500</c:v>
                </c:pt>
                <c:pt idx="2">
                  <c:v>0</c:v>
                </c:pt>
                <c:pt idx="3">
                  <c:v>0</c:v>
                </c:pt>
                <c:pt idx="4">
                  <c:v>0</c:v>
                </c:pt>
              </c:numCache>
            </c:numRef>
          </c:val>
          <c:extLst>
            <c:ext xmlns:c16="http://schemas.microsoft.com/office/drawing/2014/chart" uri="{C3380CC4-5D6E-409C-BE32-E72D297353CC}">
              <c16:uniqueId val="{00000002-5596-4F18-89D3-706DC7A36638}"/>
            </c:ext>
          </c:extLst>
        </c:ser>
        <c:ser>
          <c:idx val="3"/>
          <c:order val="3"/>
          <c:tx>
            <c:strRef>
              <c:f>Expenses!$A$28</c:f>
              <c:strCache>
                <c:ptCount val="1"/>
                <c:pt idx="0">
                  <c:v>Marketing Cost </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Expenses!$B$28:$V$28</c:f>
              <c:numCache>
                <c:formatCode>_(* #,##0.00_);_(* \(#,##0.00\);_(* "-"??_);_(@_)</c:formatCode>
                <c:ptCount val="5"/>
                <c:pt idx="0">
                  <c:v>100000</c:v>
                </c:pt>
                <c:pt idx="1">
                  <c:v>80000</c:v>
                </c:pt>
                <c:pt idx="2">
                  <c:v>40000</c:v>
                </c:pt>
                <c:pt idx="3">
                  <c:v>40000</c:v>
                </c:pt>
                <c:pt idx="4">
                  <c:v>40000</c:v>
                </c:pt>
              </c:numCache>
            </c:numRef>
          </c:val>
          <c:extLst>
            <c:ext xmlns:c16="http://schemas.microsoft.com/office/drawing/2014/chart" uri="{C3380CC4-5D6E-409C-BE32-E72D297353CC}">
              <c16:uniqueId val="{00000003-5596-4F18-89D3-706DC7A36638}"/>
            </c:ext>
          </c:extLst>
        </c:ser>
        <c:dLbls>
          <c:dLblPos val="ctr"/>
          <c:showLegendKey val="0"/>
          <c:showVal val="1"/>
          <c:showCatName val="0"/>
          <c:showSerName val="0"/>
          <c:showPercent val="0"/>
          <c:showBubbleSize val="0"/>
        </c:dLbls>
        <c:gapWidth val="150"/>
        <c:overlap val="100"/>
        <c:axId val="956876016"/>
        <c:axId val="956875536"/>
      </c:barChart>
      <c:catAx>
        <c:axId val="9568760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0" i="0" u="none" strike="noStrike" kern="1200" cap="all" baseline="0">
                <a:solidFill>
                  <a:sysClr val="windowText" lastClr="000000"/>
                </a:solidFill>
                <a:latin typeface="+mn-lt"/>
                <a:ea typeface="+mn-ea"/>
                <a:cs typeface="+mn-cs"/>
              </a:defRPr>
            </a:pPr>
            <a:endParaRPr lang="en-US"/>
          </a:p>
        </c:txPr>
        <c:crossAx val="956875536"/>
        <c:crosses val="autoZero"/>
        <c:auto val="1"/>
        <c:lblAlgn val="ctr"/>
        <c:lblOffset val="100"/>
        <c:noMultiLvlLbl val="0"/>
      </c:catAx>
      <c:valAx>
        <c:axId val="95687553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956876016"/>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spc="0" baseline="0">
                <a:solidFill>
                  <a:sysClr val="windowText" lastClr="000000"/>
                </a:solidFill>
                <a:latin typeface="+mn-lt"/>
                <a:ea typeface="+mn-ea"/>
                <a:cs typeface="+mn-cs"/>
              </a:defRPr>
            </a:pPr>
            <a:r>
              <a:rPr lang="en-US" b="1"/>
              <a:t>Green Balima Expenses</a:t>
            </a:r>
          </a:p>
        </c:rich>
      </c:tx>
      <c:overlay val="0"/>
      <c:spPr>
        <a:noFill/>
        <a:ln>
          <a:noFill/>
        </a:ln>
        <a:effectLst/>
      </c:spPr>
      <c:txPr>
        <a:bodyPr rot="0" spcFirstLastPara="1" vertOverflow="ellipsis" vert="horz" wrap="square" anchor="ctr" anchorCtr="1"/>
        <a:lstStyle/>
        <a:p>
          <a:pPr>
            <a:defRPr sz="13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Expenses!$A$36</c:f>
              <c:strCache>
                <c:ptCount val="1"/>
                <c:pt idx="0">
                  <c:v>Short-Term Actions</c:v>
                </c:pt>
              </c:strCache>
            </c:strRef>
          </c:tx>
          <c:spPr>
            <a:solidFill>
              <a:schemeClr val="accent1"/>
            </a:solidFill>
            <a:ln>
              <a:noFill/>
            </a:ln>
            <a:effectLst/>
          </c:spPr>
          <c:invertIfNegative val="0"/>
          <c:cat>
            <c:numRef>
              <c:f>Expenses!$B$4:$V$4</c:f>
              <c:numCache>
                <c:formatCode>General</c:formatCode>
                <c:ptCount val="5"/>
                <c:pt idx="0">
                  <c:v>2025</c:v>
                </c:pt>
                <c:pt idx="1">
                  <c:v>2026</c:v>
                </c:pt>
                <c:pt idx="2">
                  <c:v>2027</c:v>
                </c:pt>
                <c:pt idx="3">
                  <c:v>2028</c:v>
                </c:pt>
                <c:pt idx="4">
                  <c:v>2029</c:v>
                </c:pt>
              </c:numCache>
            </c:numRef>
          </c:cat>
          <c:val>
            <c:numRef>
              <c:f>Expenses!$B$36:$V$36</c:f>
              <c:numCache>
                <c:formatCode>_(* #,##0.00_);_(* \(#,##0.00\);_(* "-"??_);_(@_)</c:formatCode>
                <c:ptCount val="5"/>
                <c:pt idx="0">
                  <c:v>48000</c:v>
                </c:pt>
                <c:pt idx="1">
                  <c:v>3000</c:v>
                </c:pt>
                <c:pt idx="2">
                  <c:v>2000</c:v>
                </c:pt>
                <c:pt idx="3">
                  <c:v>2000</c:v>
                </c:pt>
                <c:pt idx="4">
                  <c:v>0</c:v>
                </c:pt>
              </c:numCache>
            </c:numRef>
          </c:val>
          <c:extLst>
            <c:ext xmlns:c16="http://schemas.microsoft.com/office/drawing/2014/chart" uri="{C3380CC4-5D6E-409C-BE32-E72D297353CC}">
              <c16:uniqueId val="{00000000-69CA-4497-8EC9-EB0718C7C262}"/>
            </c:ext>
          </c:extLst>
        </c:ser>
        <c:dLbls>
          <c:showLegendKey val="0"/>
          <c:showVal val="0"/>
          <c:showCatName val="0"/>
          <c:showSerName val="0"/>
          <c:showPercent val="0"/>
          <c:showBubbleSize val="0"/>
        </c:dLbls>
        <c:gapWidth val="150"/>
        <c:axId val="1079632192"/>
        <c:axId val="1079643232"/>
      </c:barChart>
      <c:lineChart>
        <c:grouping val="stacked"/>
        <c:varyColors val="0"/>
        <c:ser>
          <c:idx val="1"/>
          <c:order val="1"/>
          <c:tx>
            <c:strRef>
              <c:f>Expenses!$A$41</c:f>
              <c:strCache>
                <c:ptCount val="1"/>
                <c:pt idx="0">
                  <c:v>Long-Term Actions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Expenses!$B$4:$V$4</c:f>
              <c:numCache>
                <c:formatCode>General</c:formatCode>
                <c:ptCount val="5"/>
                <c:pt idx="0">
                  <c:v>2025</c:v>
                </c:pt>
                <c:pt idx="1">
                  <c:v>2026</c:v>
                </c:pt>
                <c:pt idx="2">
                  <c:v>2027</c:v>
                </c:pt>
                <c:pt idx="3">
                  <c:v>2028</c:v>
                </c:pt>
                <c:pt idx="4">
                  <c:v>2029</c:v>
                </c:pt>
              </c:numCache>
            </c:numRef>
          </c:cat>
          <c:val>
            <c:numRef>
              <c:f>Expenses!$B$41:$V$41</c:f>
              <c:numCache>
                <c:formatCode>_(* #,##0.00_);_(* \(#,##0.00\);_(* "-"??_);_(@_)</c:formatCode>
                <c:ptCount val="5"/>
                <c:pt idx="0">
                  <c:v>5400000</c:v>
                </c:pt>
                <c:pt idx="1">
                  <c:v>0</c:v>
                </c:pt>
                <c:pt idx="2">
                  <c:v>0</c:v>
                </c:pt>
                <c:pt idx="3">
                  <c:v>0</c:v>
                </c:pt>
                <c:pt idx="4">
                  <c:v>0</c:v>
                </c:pt>
              </c:numCache>
            </c:numRef>
          </c:val>
          <c:smooth val="0"/>
          <c:extLst>
            <c:ext xmlns:c16="http://schemas.microsoft.com/office/drawing/2014/chart" uri="{C3380CC4-5D6E-409C-BE32-E72D297353CC}">
              <c16:uniqueId val="{00000001-69CA-4497-8EC9-EB0718C7C262}"/>
            </c:ext>
          </c:extLst>
        </c:ser>
        <c:dLbls>
          <c:showLegendKey val="0"/>
          <c:showVal val="0"/>
          <c:showCatName val="0"/>
          <c:showSerName val="0"/>
          <c:showPercent val="0"/>
          <c:showBubbleSize val="0"/>
        </c:dLbls>
        <c:marker val="1"/>
        <c:smooth val="0"/>
        <c:axId val="1175361615"/>
        <c:axId val="1175354895"/>
      </c:lineChart>
      <c:catAx>
        <c:axId val="107963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1079643232"/>
        <c:crosses val="autoZero"/>
        <c:auto val="1"/>
        <c:lblAlgn val="ctr"/>
        <c:lblOffset val="100"/>
        <c:noMultiLvlLbl val="0"/>
      </c:catAx>
      <c:valAx>
        <c:axId val="107964323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solidFill>
            <a:schemeClr val="accent1">
              <a:lumMod val="20000"/>
              <a:lumOff val="80000"/>
            </a:schemeClr>
          </a:solid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1079632192"/>
        <c:crosses val="autoZero"/>
        <c:crossBetween val="between"/>
      </c:valAx>
      <c:valAx>
        <c:axId val="1175354895"/>
        <c:scaling>
          <c:orientation val="minMax"/>
        </c:scaling>
        <c:delete val="0"/>
        <c:axPos val="r"/>
        <c:numFmt formatCode="_(* #,##0_);_(* \(#,##0\);_(* &quot;-&quot;_);_(@_)" sourceLinked="0"/>
        <c:majorTickMark val="none"/>
        <c:minorTickMark val="none"/>
        <c:tickLblPos val="nextTo"/>
        <c:spPr>
          <a:solidFill>
            <a:schemeClr val="accent2">
              <a:lumMod val="20000"/>
              <a:lumOff val="80000"/>
            </a:schemeClr>
          </a:solid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1175361615"/>
        <c:crosses val="max"/>
        <c:crossBetween val="between"/>
      </c:valAx>
      <c:catAx>
        <c:axId val="1175361615"/>
        <c:scaling>
          <c:orientation val="minMax"/>
        </c:scaling>
        <c:delete val="1"/>
        <c:axPos val="b"/>
        <c:numFmt formatCode="General" sourceLinked="1"/>
        <c:majorTickMark val="none"/>
        <c:minorTickMark val="none"/>
        <c:tickLblPos val="nextTo"/>
        <c:crossAx val="117535489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c:spPr>
  <c:txPr>
    <a:bodyPr/>
    <a:lstStyle/>
    <a:p>
      <a:pPr>
        <a:defRPr sz="1100">
          <a:solidFill>
            <a:sysClr val="windowText" lastClr="000000"/>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1" i="0" u="none" strike="noStrike" kern="1200" baseline="0">
                <a:solidFill>
                  <a:sysClr val="windowText" lastClr="000000"/>
                </a:solidFill>
                <a:latin typeface="+mn-lt"/>
                <a:ea typeface="+mn-ea"/>
                <a:cs typeface="+mn-cs"/>
              </a:defRPr>
            </a:pPr>
            <a:r>
              <a:rPr lang="en-US"/>
              <a:t>Green Balima Short term actions Expenses</a:t>
            </a:r>
          </a:p>
        </c:rich>
      </c:tx>
      <c:overlay val="0"/>
      <c:spPr>
        <a:noFill/>
        <a:ln>
          <a:noFill/>
        </a:ln>
        <a:effectLst/>
      </c:spPr>
      <c:txPr>
        <a:bodyPr rot="0" spcFirstLastPara="1" vertOverflow="ellipsis" vert="horz" wrap="square" anchor="ctr" anchorCtr="1"/>
        <a:lstStyle/>
        <a:p>
          <a:pPr>
            <a:defRPr sz="960" b="1" i="0" u="none" strike="noStrike" kern="1200" baseline="0">
              <a:solidFill>
                <a:sysClr val="windowText" lastClr="000000"/>
              </a:solidFill>
              <a:latin typeface="+mn-lt"/>
              <a:ea typeface="+mn-ea"/>
              <a:cs typeface="+mn-cs"/>
            </a:defRPr>
          </a:pPr>
          <a:endParaRPr lang="en-US"/>
        </a:p>
      </c:txPr>
    </c:title>
    <c:autoTitleDeleted val="0"/>
    <c:plotArea>
      <c:layout/>
      <c:barChart>
        <c:barDir val="col"/>
        <c:grouping val="percentStacked"/>
        <c:varyColors val="0"/>
        <c:ser>
          <c:idx val="0"/>
          <c:order val="0"/>
          <c:tx>
            <c:strRef>
              <c:f>Expenses!$A$37</c:f>
              <c:strCache>
                <c:ptCount val="1"/>
                <c:pt idx="0">
                  <c:v>Water Dispensers Installation Cost</c:v>
                </c:pt>
              </c:strCache>
            </c:strRef>
          </c:tx>
          <c:spPr>
            <a:solidFill>
              <a:schemeClr val="accent1">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Expenses!$B$37:$V$37</c:f>
              <c:numCache>
                <c:formatCode>_(* #,##0.00_);_(* \(#,##0.00\);_(* "-"??_);_(@_)</c:formatCode>
                <c:ptCount val="5"/>
                <c:pt idx="0">
                  <c:v>10000</c:v>
                </c:pt>
                <c:pt idx="1">
                  <c:v>0</c:v>
                </c:pt>
                <c:pt idx="2">
                  <c:v>0</c:v>
                </c:pt>
                <c:pt idx="3">
                  <c:v>0</c:v>
                </c:pt>
                <c:pt idx="4">
                  <c:v>0</c:v>
                </c:pt>
              </c:numCache>
            </c:numRef>
          </c:val>
          <c:extLst>
            <c:ext xmlns:c16="http://schemas.microsoft.com/office/drawing/2014/chart" uri="{C3380CC4-5D6E-409C-BE32-E72D297353CC}">
              <c16:uniqueId val="{00000000-224C-4393-A1D6-CBDA4C03E150}"/>
            </c:ext>
          </c:extLst>
        </c:ser>
        <c:ser>
          <c:idx val="1"/>
          <c:order val="1"/>
          <c:tx>
            <c:strRef>
              <c:f>Expenses!$A$38</c:f>
              <c:strCache>
                <c:ptCount val="1"/>
                <c:pt idx="0">
                  <c:v>Energy-Efficient Lighting (LED) Cost</c:v>
                </c:pt>
              </c:strCache>
            </c:strRef>
          </c:tx>
          <c:spPr>
            <a:solidFill>
              <a:schemeClr val="accent2">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Expenses!$B$38:$V$38</c:f>
              <c:numCache>
                <c:formatCode>_(* #,##0.00_);_(* \(#,##0.00\);_(* "-"??_);_(@_)</c:formatCode>
                <c:ptCount val="5"/>
                <c:pt idx="0">
                  <c:v>30000</c:v>
                </c:pt>
                <c:pt idx="1">
                  <c:v>0</c:v>
                </c:pt>
                <c:pt idx="2">
                  <c:v>0</c:v>
                </c:pt>
                <c:pt idx="3">
                  <c:v>0</c:v>
                </c:pt>
                <c:pt idx="4">
                  <c:v>0</c:v>
                </c:pt>
              </c:numCache>
            </c:numRef>
          </c:val>
          <c:extLst>
            <c:ext xmlns:c16="http://schemas.microsoft.com/office/drawing/2014/chart" uri="{C3380CC4-5D6E-409C-BE32-E72D297353CC}">
              <c16:uniqueId val="{00000001-224C-4393-A1D6-CBDA4C03E150}"/>
            </c:ext>
          </c:extLst>
        </c:ser>
        <c:ser>
          <c:idx val="2"/>
          <c:order val="2"/>
          <c:tx>
            <c:strRef>
              <c:f>Expenses!$A$39</c:f>
              <c:strCache>
                <c:ptCount val="1"/>
                <c:pt idx="0">
                  <c:v>Waste Segregation and Recycling Program Cost</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Expenses!$B$39:$V$39</c:f>
              <c:numCache>
                <c:formatCode>_(* #,##0.00_);_(* \(#,##0.00\);_(* "-"??_);_(@_)</c:formatCode>
                <c:ptCount val="5"/>
                <c:pt idx="0">
                  <c:v>3000</c:v>
                </c:pt>
                <c:pt idx="1">
                  <c:v>1000</c:v>
                </c:pt>
                <c:pt idx="2">
                  <c:v>500</c:v>
                </c:pt>
                <c:pt idx="3" formatCode="#\ ?/?">
                  <c:v>500</c:v>
                </c:pt>
                <c:pt idx="4">
                  <c:v>0</c:v>
                </c:pt>
              </c:numCache>
            </c:numRef>
          </c:val>
          <c:extLst>
            <c:ext xmlns:c16="http://schemas.microsoft.com/office/drawing/2014/chart" uri="{C3380CC4-5D6E-409C-BE32-E72D297353CC}">
              <c16:uniqueId val="{00000002-224C-4393-A1D6-CBDA4C03E150}"/>
            </c:ext>
          </c:extLst>
        </c:ser>
        <c:ser>
          <c:idx val="3"/>
          <c:order val="3"/>
          <c:tx>
            <c:strRef>
              <c:f>Expenses!$A$40</c:f>
              <c:strCache>
                <c:ptCount val="1"/>
                <c:pt idx="0">
                  <c:v>Staff Training on Sustainability Practices Cost</c:v>
                </c:pt>
              </c:strCache>
            </c:strRef>
          </c:tx>
          <c:spPr>
            <a:solidFill>
              <a:schemeClr val="accent4">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Expenses!$B$40:$V$40</c:f>
              <c:numCache>
                <c:formatCode>_(* #,##0.00_);_(* \(#,##0.00\);_(* "-"??_);_(@_)</c:formatCode>
                <c:ptCount val="5"/>
                <c:pt idx="0">
                  <c:v>5000</c:v>
                </c:pt>
                <c:pt idx="1">
                  <c:v>2000</c:v>
                </c:pt>
                <c:pt idx="2">
                  <c:v>1500</c:v>
                </c:pt>
                <c:pt idx="3">
                  <c:v>1500</c:v>
                </c:pt>
                <c:pt idx="4">
                  <c:v>0</c:v>
                </c:pt>
              </c:numCache>
            </c:numRef>
          </c:val>
          <c:extLst>
            <c:ext xmlns:c16="http://schemas.microsoft.com/office/drawing/2014/chart" uri="{C3380CC4-5D6E-409C-BE32-E72D297353CC}">
              <c16:uniqueId val="{00000003-224C-4393-A1D6-CBDA4C03E150}"/>
            </c:ext>
          </c:extLst>
        </c:ser>
        <c:dLbls>
          <c:dLblPos val="ctr"/>
          <c:showLegendKey val="0"/>
          <c:showVal val="1"/>
          <c:showCatName val="0"/>
          <c:showSerName val="0"/>
          <c:showPercent val="0"/>
          <c:showBubbleSize val="0"/>
        </c:dLbls>
        <c:gapWidth val="150"/>
        <c:overlap val="100"/>
        <c:axId val="929586207"/>
        <c:axId val="929578527"/>
      </c:barChart>
      <c:catAx>
        <c:axId val="9295862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ysClr val="windowText" lastClr="000000"/>
                </a:solidFill>
                <a:latin typeface="+mn-lt"/>
                <a:ea typeface="+mn-ea"/>
                <a:cs typeface="+mn-cs"/>
              </a:defRPr>
            </a:pPr>
            <a:endParaRPr lang="en-US"/>
          </a:p>
        </c:txPr>
        <c:crossAx val="929578527"/>
        <c:crosses val="autoZero"/>
        <c:auto val="1"/>
        <c:lblAlgn val="ctr"/>
        <c:lblOffset val="100"/>
        <c:noMultiLvlLbl val="0"/>
      </c:catAx>
      <c:valAx>
        <c:axId val="92957852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92958620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800">
          <a:solidFill>
            <a:sysClr val="windowText" lastClr="000000"/>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r>
              <a:rPr lang="en-US" sz="1100"/>
              <a:t>Green</a:t>
            </a:r>
            <a:r>
              <a:rPr lang="en-US" sz="1100" baseline="0"/>
              <a:t> Balima Long term actions Expenses</a:t>
            </a:r>
            <a:endParaRPr lang="en-US" sz="1100"/>
          </a:p>
        </c:rich>
      </c:tx>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title>
    <c:autoTitleDeleted val="0"/>
    <c:plotArea>
      <c:layout/>
      <c:barChart>
        <c:barDir val="col"/>
        <c:grouping val="percentStacked"/>
        <c:varyColors val="0"/>
        <c:ser>
          <c:idx val="0"/>
          <c:order val="0"/>
          <c:tx>
            <c:strRef>
              <c:f>Expenses!$A$42</c:f>
              <c:strCache>
                <c:ptCount val="1"/>
                <c:pt idx="0">
                  <c:v>Solar Panel Installation Cost</c:v>
                </c:pt>
              </c:strCache>
            </c:strRef>
          </c:tx>
          <c:spPr>
            <a:solidFill>
              <a:schemeClr val="accent1">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Expenses!$B$42:$V$42</c:f>
              <c:numCache>
                <c:formatCode>_(* #,##0.00_);_(* \(#,##0.00\);_(* "-"??_);_(@_)</c:formatCode>
                <c:ptCount val="5"/>
                <c:pt idx="0">
                  <c:v>5000000</c:v>
                </c:pt>
                <c:pt idx="1">
                  <c:v>0</c:v>
                </c:pt>
                <c:pt idx="2">
                  <c:v>0</c:v>
                </c:pt>
                <c:pt idx="3">
                  <c:v>0</c:v>
                </c:pt>
                <c:pt idx="4">
                  <c:v>0</c:v>
                </c:pt>
              </c:numCache>
            </c:numRef>
          </c:val>
          <c:extLst>
            <c:ext xmlns:c16="http://schemas.microsoft.com/office/drawing/2014/chart" uri="{C3380CC4-5D6E-409C-BE32-E72D297353CC}">
              <c16:uniqueId val="{00000000-03F4-4A0D-97E9-27E1C423F002}"/>
            </c:ext>
          </c:extLst>
        </c:ser>
        <c:ser>
          <c:idx val="1"/>
          <c:order val="1"/>
          <c:tx>
            <c:strRef>
              <c:f>Expenses!$A$43</c:f>
              <c:strCache>
                <c:ptCount val="1"/>
                <c:pt idx="0">
                  <c:v>Greywater Recycling System Cost</c:v>
                </c:pt>
              </c:strCache>
            </c:strRef>
          </c:tx>
          <c:spPr>
            <a:solidFill>
              <a:schemeClr val="accent2">
                <a:alpha val="85000"/>
              </a:schemeClr>
            </a:solidFill>
            <a:ln w="9525" cap="flat" cmpd="sng" algn="ctr">
              <a:solidFill>
                <a:schemeClr val="lt1">
                  <a:alpha val="50000"/>
                </a:schemeClr>
              </a:solidFill>
              <a:round/>
            </a:ln>
            <a:effectLst/>
          </c:spPr>
          <c:invertIfNegative val="0"/>
          <c:dLbls>
            <c:numFmt formatCode="_(* #,##0_);_(* \(#,##0\);_(* &quot;-&quot;_);_(@_)" sourceLinked="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Expenses!$B$43:$V$43</c:f>
              <c:numCache>
                <c:formatCode>_(* #,##0.00_);_(* \(#,##0.00\);_(* "-"??_);_(@_)</c:formatCode>
                <c:ptCount val="5"/>
                <c:pt idx="0">
                  <c:v>250000</c:v>
                </c:pt>
                <c:pt idx="1">
                  <c:v>0</c:v>
                </c:pt>
                <c:pt idx="2">
                  <c:v>0</c:v>
                </c:pt>
                <c:pt idx="3">
                  <c:v>0</c:v>
                </c:pt>
                <c:pt idx="4">
                  <c:v>0</c:v>
                </c:pt>
              </c:numCache>
            </c:numRef>
          </c:val>
          <c:extLst>
            <c:ext xmlns:c16="http://schemas.microsoft.com/office/drawing/2014/chart" uri="{C3380CC4-5D6E-409C-BE32-E72D297353CC}">
              <c16:uniqueId val="{00000001-03F4-4A0D-97E9-27E1C423F002}"/>
            </c:ext>
          </c:extLst>
        </c:ser>
        <c:ser>
          <c:idx val="2"/>
          <c:order val="2"/>
          <c:tx>
            <c:strRef>
              <c:f>Expenses!$A$44</c:f>
              <c:strCache>
                <c:ptCount val="1"/>
                <c:pt idx="0">
                  <c:v>Sustainable Sourcing of Food and Supplies Cost?</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Expenses!$B$44:$V$44</c:f>
            </c:numRef>
          </c:val>
          <c:extLst>
            <c:ext xmlns:c16="http://schemas.microsoft.com/office/drawing/2014/chart" uri="{C3380CC4-5D6E-409C-BE32-E72D297353CC}">
              <c16:uniqueId val="{00000002-03F4-4A0D-97E9-27E1C423F002}"/>
            </c:ext>
          </c:extLst>
        </c:ser>
        <c:ser>
          <c:idx val="3"/>
          <c:order val="3"/>
          <c:tx>
            <c:strRef>
              <c:f>Expenses!$A$45</c:f>
              <c:strCache>
                <c:ptCount val="1"/>
                <c:pt idx="0">
                  <c:v>Green Building Certifications (e.g., LEED) Cost</c:v>
                </c:pt>
              </c:strCache>
            </c:strRef>
          </c:tx>
          <c:spPr>
            <a:solidFill>
              <a:schemeClr val="accent4">
                <a:alpha val="85000"/>
              </a:schemeClr>
            </a:solidFill>
            <a:ln w="9525" cap="flat" cmpd="sng" algn="ctr">
              <a:solidFill>
                <a:schemeClr val="lt1">
                  <a:alpha val="50000"/>
                </a:schemeClr>
              </a:solidFill>
              <a:round/>
            </a:ln>
            <a:effectLst/>
          </c:spPr>
          <c:invertIfNegative val="0"/>
          <c:dLbls>
            <c:dLbl>
              <c:idx val="0"/>
              <c:numFmt formatCode="_(* #,##0_);_(* \(#,##0\);_(* &quot;-&quot;_);_(@_)" sourceLinked="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03F4-4A0D-97E9-27E1C423F002}"/>
                </c:ext>
              </c:extLst>
            </c:dLbl>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Expenses!$B$45:$V$45</c:f>
              <c:numCache>
                <c:formatCode>_(* #,##0.00_);_(* \(#,##0.00\);_(* "-"??_);_(@_)</c:formatCode>
                <c:ptCount val="5"/>
                <c:pt idx="0">
                  <c:v>150000</c:v>
                </c:pt>
                <c:pt idx="1">
                  <c:v>0</c:v>
                </c:pt>
                <c:pt idx="2">
                  <c:v>0</c:v>
                </c:pt>
                <c:pt idx="3">
                  <c:v>0</c:v>
                </c:pt>
                <c:pt idx="4">
                  <c:v>0</c:v>
                </c:pt>
              </c:numCache>
            </c:numRef>
          </c:val>
          <c:extLst>
            <c:ext xmlns:c16="http://schemas.microsoft.com/office/drawing/2014/chart" uri="{C3380CC4-5D6E-409C-BE32-E72D297353CC}">
              <c16:uniqueId val="{00000003-03F4-4A0D-97E9-27E1C423F002}"/>
            </c:ext>
          </c:extLst>
        </c:ser>
        <c:dLbls>
          <c:dLblPos val="ctr"/>
          <c:showLegendKey val="0"/>
          <c:showVal val="1"/>
          <c:showCatName val="0"/>
          <c:showSerName val="0"/>
          <c:showPercent val="0"/>
          <c:showBubbleSize val="0"/>
        </c:dLbls>
        <c:gapWidth val="150"/>
        <c:overlap val="100"/>
        <c:axId val="1175365935"/>
        <c:axId val="1175366415"/>
      </c:barChart>
      <c:catAx>
        <c:axId val="117536593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ysClr val="windowText" lastClr="000000"/>
                </a:solidFill>
                <a:latin typeface="+mn-lt"/>
                <a:ea typeface="+mn-ea"/>
                <a:cs typeface="+mn-cs"/>
              </a:defRPr>
            </a:pPr>
            <a:endParaRPr lang="en-US"/>
          </a:p>
        </c:txPr>
        <c:crossAx val="1175366415"/>
        <c:crosses val="autoZero"/>
        <c:auto val="1"/>
        <c:lblAlgn val="ctr"/>
        <c:lblOffset val="100"/>
        <c:noMultiLvlLbl val="0"/>
      </c:catAx>
      <c:valAx>
        <c:axId val="117536641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175365935"/>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Expenses!$A$50</c:f>
              <c:strCache>
                <c:ptCount val="1"/>
                <c:pt idx="0">
                  <c:v>Website Revanping With Online Booking andAI  Chatbot</c:v>
                </c:pt>
              </c:strCache>
            </c:strRef>
          </c:tx>
          <c:spPr>
            <a:ln w="31750" cap="rnd">
              <a:solidFill>
                <a:schemeClr val="accent1"/>
              </a:solidFill>
              <a:round/>
            </a:ln>
            <a:effectLst/>
          </c:spPr>
          <c:marker>
            <c:symbol val="circle"/>
            <c:size val="17"/>
            <c:spPr>
              <a:solidFill>
                <a:schemeClr val="accent1"/>
              </a:solidFill>
              <a:ln>
                <a:noFill/>
              </a:ln>
              <a:effectLst/>
            </c:spPr>
          </c:marker>
          <c:dLbls>
            <c:numFmt formatCode="_(* #,##0_);_(* \(#,##0\);_(* &quot;-&quot;_);_(@_)" sourceLinked="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Expenses!$B$4:$V$4</c:f>
              <c:numCache>
                <c:formatCode>General</c:formatCode>
                <c:ptCount val="5"/>
                <c:pt idx="0">
                  <c:v>2025</c:v>
                </c:pt>
                <c:pt idx="1">
                  <c:v>2026</c:v>
                </c:pt>
                <c:pt idx="2">
                  <c:v>2027</c:v>
                </c:pt>
                <c:pt idx="3">
                  <c:v>2028</c:v>
                </c:pt>
                <c:pt idx="4">
                  <c:v>2029</c:v>
                </c:pt>
              </c:numCache>
            </c:numRef>
          </c:cat>
          <c:val>
            <c:numRef>
              <c:f>Expenses!$B$50:$V$50</c:f>
              <c:numCache>
                <c:formatCode>_(* #,##0.00_);_(* \(#,##0.00\);_(* "-"??_);_(@_)</c:formatCode>
                <c:ptCount val="5"/>
                <c:pt idx="0">
                  <c:v>200000</c:v>
                </c:pt>
                <c:pt idx="1">
                  <c:v>0</c:v>
                </c:pt>
                <c:pt idx="2">
                  <c:v>0</c:v>
                </c:pt>
                <c:pt idx="3">
                  <c:v>0</c:v>
                </c:pt>
                <c:pt idx="4">
                  <c:v>0</c:v>
                </c:pt>
              </c:numCache>
            </c:numRef>
          </c:val>
          <c:smooth val="0"/>
          <c:extLst>
            <c:ext xmlns:c16="http://schemas.microsoft.com/office/drawing/2014/chart" uri="{C3380CC4-5D6E-409C-BE32-E72D297353CC}">
              <c16:uniqueId val="{00000000-71D0-43B4-8409-EE72F499C326}"/>
            </c:ext>
          </c:extLst>
        </c:ser>
        <c:dLbls>
          <c:dLblPos val="r"/>
          <c:showLegendKey val="0"/>
          <c:showVal val="1"/>
          <c:showCatName val="0"/>
          <c:showSerName val="0"/>
          <c:showPercent val="0"/>
          <c:showBubbleSize val="0"/>
        </c:dLbls>
        <c:marker val="1"/>
        <c:smooth val="0"/>
        <c:axId val="929544927"/>
        <c:axId val="929548767"/>
      </c:lineChart>
      <c:catAx>
        <c:axId val="9295449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0" i="0" u="none" strike="noStrike" kern="1200" cap="all" baseline="0">
                <a:solidFill>
                  <a:sysClr val="windowText" lastClr="000000"/>
                </a:solidFill>
                <a:latin typeface="+mn-lt"/>
                <a:ea typeface="+mn-ea"/>
                <a:cs typeface="+mn-cs"/>
              </a:defRPr>
            </a:pPr>
            <a:endParaRPr lang="en-US"/>
          </a:p>
        </c:txPr>
        <c:crossAx val="929548767"/>
        <c:crosses val="autoZero"/>
        <c:auto val="1"/>
        <c:lblAlgn val="ctr"/>
        <c:lblOffset val="100"/>
        <c:noMultiLvlLbl val="0"/>
      </c:catAx>
      <c:valAx>
        <c:axId val="92954876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00_);_(* \(#,##0.00\);_(* &quot;-&quot;??_);_(@_)" sourceLinked="1"/>
        <c:majorTickMark val="none"/>
        <c:minorTickMark val="none"/>
        <c:tickLblPos val="nextTo"/>
        <c:crossAx val="929544927"/>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 and Market Share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 and Graphics'!$W$7</c:f>
              <c:strCache>
                <c:ptCount val="1"/>
                <c:pt idx="0">
                  <c:v>Market</c:v>
                </c:pt>
              </c:strCache>
            </c:strRef>
          </c:tx>
          <c:spPr>
            <a:solidFill>
              <a:schemeClr val="accent1"/>
            </a:solidFill>
            <a:ln>
              <a:noFill/>
            </a:ln>
            <a:effectLst/>
          </c:spPr>
          <c:invertIfNegative val="0"/>
          <c:cat>
            <c:numRef>
              <c:f>'Summary and Graphics'!$X$6:$AQ$6</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'Summary and Graphics'!$X$7:$AQ$7</c:f>
              <c:numCache>
                <c:formatCode>_(* #,##0.00_);_(* \(#,##0.00\);_(* "-"??_);_(@_)</c:formatCode>
                <c:ptCount val="20"/>
                <c:pt idx="0">
                  <c:v>23448862824.081711</c:v>
                </c:pt>
                <c:pt idx="1">
                  <c:v>27010808591.588402</c:v>
                </c:pt>
                <c:pt idx="2">
                  <c:v>28000929480.717789</c:v>
                </c:pt>
                <c:pt idx="3">
                  <c:v>27517077609.022167</c:v>
                </c:pt>
                <c:pt idx="4">
                  <c:v>23921888750.797653</c:v>
                </c:pt>
                <c:pt idx="5">
                  <c:v>19707131342.927864</c:v>
                </c:pt>
                <c:pt idx="6">
                  <c:v>23439669721.748569</c:v>
                </c:pt>
                <c:pt idx="7">
                  <c:v>22352542616.634922</c:v>
                </c:pt>
                <c:pt idx="8">
                  <c:v>15138682078.814159</c:v>
                </c:pt>
                <c:pt idx="9">
                  <c:v>12858179510.527679</c:v>
                </c:pt>
                <c:pt idx="10">
                  <c:v>9790918331.6942444</c:v>
                </c:pt>
                <c:pt idx="11">
                  <c:v>11818088442.031521</c:v>
                </c:pt>
                <c:pt idx="12">
                  <c:v>13058213251.59277</c:v>
                </c:pt>
                <c:pt idx="13">
                  <c:v>14763366308.220369</c:v>
                </c:pt>
                <c:pt idx="14">
                  <c:v>10839034279.061228</c:v>
                </c:pt>
                <c:pt idx="15">
                  <c:v>8909382008.1134491</c:v>
                </c:pt>
                <c:pt idx="16">
                  <c:v>9426867339.9620838</c:v>
                </c:pt>
                <c:pt idx="17">
                  <c:v>9934734787.5373993</c:v>
                </c:pt>
                <c:pt idx="18">
                  <c:v>9961022217.028244</c:v>
                </c:pt>
                <c:pt idx="19">
                  <c:v>9471241891.8246193</c:v>
                </c:pt>
              </c:numCache>
            </c:numRef>
          </c:val>
          <c:extLst>
            <c:ext xmlns:c16="http://schemas.microsoft.com/office/drawing/2014/chart" uri="{C3380CC4-5D6E-409C-BE32-E72D297353CC}">
              <c16:uniqueId val="{00000000-5810-429D-A0A7-D88CAB93B137}"/>
            </c:ext>
          </c:extLst>
        </c:ser>
        <c:dLbls>
          <c:showLegendKey val="0"/>
          <c:showVal val="0"/>
          <c:showCatName val="0"/>
          <c:showSerName val="0"/>
          <c:showPercent val="0"/>
          <c:showBubbleSize val="0"/>
        </c:dLbls>
        <c:gapWidth val="219"/>
        <c:overlap val="-27"/>
        <c:axId val="1631950495"/>
        <c:axId val="1631947615"/>
      </c:barChart>
      <c:lineChart>
        <c:grouping val="standard"/>
        <c:varyColors val="0"/>
        <c:ser>
          <c:idx val="1"/>
          <c:order val="1"/>
          <c:tx>
            <c:strRef>
              <c:f>'Summary and Graphics'!$W$8</c:f>
              <c:strCache>
                <c:ptCount val="1"/>
                <c:pt idx="0">
                  <c:v>Market Share</c:v>
                </c:pt>
              </c:strCache>
            </c:strRef>
          </c:tx>
          <c:spPr>
            <a:ln w="28575" cap="rnd">
              <a:solidFill>
                <a:schemeClr val="accent2"/>
              </a:solidFill>
              <a:round/>
            </a:ln>
            <a:effectLst/>
          </c:spPr>
          <c:marker>
            <c:symbol val="none"/>
          </c:marker>
          <c:cat>
            <c:numRef>
              <c:f>'Summary and Graphics'!$X$6:$AQ$6</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'Summary and Graphics'!$X$8:$AQ$8</c:f>
              <c:numCache>
                <c:formatCode>0.0%</c:formatCode>
                <c:ptCount val="20"/>
                <c:pt idx="0">
                  <c:v>2.0087333655952931E-3</c:v>
                </c:pt>
                <c:pt idx="1">
                  <c:v>1.344624575263935E-3</c:v>
                </c:pt>
                <c:pt idx="2">
                  <c:v>1.3608058163297526E-3</c:v>
                </c:pt>
                <c:pt idx="3">
                  <c:v>1.4271274794502239E-3</c:v>
                </c:pt>
                <c:pt idx="4">
                  <c:v>1.8500454425248636E-3</c:v>
                </c:pt>
                <c:pt idx="5">
                  <c:v>2.2133647440094428E-3</c:v>
                </c:pt>
                <c:pt idx="6">
                  <c:v>1.875030228741695E-3</c:v>
                </c:pt>
                <c:pt idx="7">
                  <c:v>2.0117139034793873E-3</c:v>
                </c:pt>
                <c:pt idx="8">
                  <c:v>3.00492991418731E-3</c:v>
                </c:pt>
                <c:pt idx="9">
                  <c:v>3.615851768279753E-3</c:v>
                </c:pt>
                <c:pt idx="10">
                  <c:v>4.5820645837454212E-3</c:v>
                </c:pt>
                <c:pt idx="11">
                  <c:v>3.9342254120081311E-3</c:v>
                </c:pt>
                <c:pt idx="12">
                  <c:v>3.6153458386997614E-3</c:v>
                </c:pt>
                <c:pt idx="13">
                  <c:v>3.2844311614080024E-3</c:v>
                </c:pt>
                <c:pt idx="14">
                  <c:v>4.5211515343309703E-3</c:v>
                </c:pt>
                <c:pt idx="15">
                  <c:v>1.0407866834308627E-2</c:v>
                </c:pt>
                <c:pt idx="16">
                  <c:v>1.1000515153834258E-2</c:v>
                </c:pt>
                <c:pt idx="17">
                  <c:v>1.0710373177856874E-2</c:v>
                </c:pt>
                <c:pt idx="18">
                  <c:v>1.0975140552644291E-2</c:v>
                </c:pt>
                <c:pt idx="19">
                  <c:v>1.1876366705061469E-2</c:v>
                </c:pt>
              </c:numCache>
            </c:numRef>
          </c:val>
          <c:smooth val="0"/>
          <c:extLst>
            <c:ext xmlns:c16="http://schemas.microsoft.com/office/drawing/2014/chart" uri="{C3380CC4-5D6E-409C-BE32-E72D297353CC}">
              <c16:uniqueId val="{00000001-5810-429D-A0A7-D88CAB93B137}"/>
            </c:ext>
          </c:extLst>
        </c:ser>
        <c:dLbls>
          <c:showLegendKey val="0"/>
          <c:showVal val="0"/>
          <c:showCatName val="0"/>
          <c:showSerName val="0"/>
          <c:showPercent val="0"/>
          <c:showBubbleSize val="0"/>
        </c:dLbls>
        <c:marker val="1"/>
        <c:smooth val="0"/>
        <c:axId val="1631944735"/>
        <c:axId val="1631947135"/>
      </c:lineChart>
      <c:catAx>
        <c:axId val="163195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947615"/>
        <c:crosses val="autoZero"/>
        <c:auto val="1"/>
        <c:lblAlgn val="ctr"/>
        <c:lblOffset val="100"/>
        <c:noMultiLvlLbl val="0"/>
      </c:catAx>
      <c:valAx>
        <c:axId val="1631947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 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MAD]\ * #,##0_);_([$MAD]\ * \(#,##0\);_([$MAD]\ *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950495"/>
        <c:crosses val="autoZero"/>
        <c:crossBetween val="between"/>
      </c:valAx>
      <c:valAx>
        <c:axId val="163194713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 Share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944735"/>
        <c:crosses val="max"/>
        <c:crossBetween val="between"/>
      </c:valAx>
      <c:catAx>
        <c:axId val="1631944735"/>
        <c:scaling>
          <c:orientation val="minMax"/>
        </c:scaling>
        <c:delete val="1"/>
        <c:axPos val="b"/>
        <c:numFmt formatCode="General" sourceLinked="1"/>
        <c:majorTickMark val="none"/>
        <c:minorTickMark val="none"/>
        <c:tickLblPos val="nextTo"/>
        <c:crossAx val="163194713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and Y/Y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 and Graphics'!$W$3</c:f>
              <c:strCache>
                <c:ptCount val="1"/>
                <c:pt idx="0">
                  <c:v>Sales</c:v>
                </c:pt>
              </c:strCache>
            </c:strRef>
          </c:tx>
          <c:spPr>
            <a:solidFill>
              <a:schemeClr val="accent1"/>
            </a:solidFill>
            <a:ln>
              <a:noFill/>
            </a:ln>
            <a:effectLst/>
          </c:spPr>
          <c:invertIfNegative val="0"/>
          <c:cat>
            <c:numRef>
              <c:f>'Summary and Graphics'!$X$2:$AQ$2</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'Summary and Graphics'!$X$3:$AQ$3</c:f>
              <c:numCache>
                <c:formatCode>_(* #,##0.00_);_(* \(#,##0.00\);_(* "-"??_);_(@_)</c:formatCode>
                <c:ptCount val="20"/>
                <c:pt idx="0">
                  <c:v>47102513.140000001</c:v>
                </c:pt>
                <c:pt idx="1">
                  <c:v>36319397.030000001</c:v>
                </c:pt>
                <c:pt idx="2">
                  <c:v>38103827.700000003</c:v>
                </c:pt>
                <c:pt idx="3">
                  <c:v>39270377.609999999</c:v>
                </c:pt>
                <c:pt idx="4">
                  <c:v>44256581.259999998</c:v>
                </c:pt>
                <c:pt idx="5">
                  <c:v>43619069.719999999</c:v>
                </c:pt>
                <c:pt idx="6">
                  <c:v>43950089.280000001</c:v>
                </c:pt>
                <c:pt idx="7">
                  <c:v>44966920.759999998</c:v>
                </c:pt>
                <c:pt idx="8">
                  <c:v>45490678.640000001</c:v>
                </c:pt>
                <c:pt idx="9">
                  <c:v>46493271.119999997</c:v>
                </c:pt>
                <c:pt idx="10">
                  <c:v>44862620.130000003</c:v>
                </c:pt>
                <c:pt idx="11">
                  <c:v>46495023.869999997</c:v>
                </c:pt>
                <c:pt idx="12">
                  <c:v>47209956.939999998</c:v>
                </c:pt>
                <c:pt idx="13">
                  <c:v>48489260.350000001</c:v>
                </c:pt>
                <c:pt idx="14">
                  <c:v>49004916.461443655</c:v>
                </c:pt>
                <c:pt idx="15">
                  <c:v>92727661.516429961</c:v>
                </c:pt>
                <c:pt idx="16">
                  <c:v>103700397.02643815</c:v>
                </c:pt>
                <c:pt idx="17">
                  <c:v>106404716.99756217</c:v>
                </c:pt>
                <c:pt idx="18">
                  <c:v>109323618.87989743</c:v>
                </c:pt>
                <c:pt idx="19">
                  <c:v>112483941.8596493</c:v>
                </c:pt>
              </c:numCache>
            </c:numRef>
          </c:val>
          <c:extLst>
            <c:ext xmlns:c16="http://schemas.microsoft.com/office/drawing/2014/chart" uri="{C3380CC4-5D6E-409C-BE32-E72D297353CC}">
              <c16:uniqueId val="{00000000-8E52-4230-8B39-1495DC6809D9}"/>
            </c:ext>
          </c:extLst>
        </c:ser>
        <c:dLbls>
          <c:showLegendKey val="0"/>
          <c:showVal val="0"/>
          <c:showCatName val="0"/>
          <c:showSerName val="0"/>
          <c:showPercent val="0"/>
          <c:showBubbleSize val="0"/>
        </c:dLbls>
        <c:gapWidth val="219"/>
        <c:overlap val="-27"/>
        <c:axId val="1563614703"/>
        <c:axId val="1563611823"/>
      </c:barChart>
      <c:lineChart>
        <c:grouping val="standard"/>
        <c:varyColors val="0"/>
        <c:ser>
          <c:idx val="1"/>
          <c:order val="1"/>
          <c:tx>
            <c:strRef>
              <c:f>'Summary and Graphics'!$W$4</c:f>
              <c:strCache>
                <c:ptCount val="1"/>
                <c:pt idx="0">
                  <c:v> Y/Y  Growth</c:v>
                </c:pt>
              </c:strCache>
            </c:strRef>
          </c:tx>
          <c:spPr>
            <a:ln w="28575" cap="rnd">
              <a:solidFill>
                <a:schemeClr val="accent2"/>
              </a:solidFill>
              <a:round/>
            </a:ln>
            <a:effectLst/>
          </c:spPr>
          <c:marker>
            <c:symbol val="none"/>
          </c:marker>
          <c:cat>
            <c:numRef>
              <c:f>'Summary and Graphics'!$X$2:$AQ$2</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'Summary and Graphics'!$X$4:$AQ$4</c:f>
              <c:numCache>
                <c:formatCode>0.0%</c:formatCode>
                <c:ptCount val="20"/>
                <c:pt idx="0">
                  <c:v>0.18380974011500581</c:v>
                </c:pt>
                <c:pt idx="1">
                  <c:v>-0.22892867898470692</c:v>
                </c:pt>
                <c:pt idx="2">
                  <c:v>4.9131616048748092E-2</c:v>
                </c:pt>
                <c:pt idx="3">
                  <c:v>3.0615032148069373E-2</c:v>
                </c:pt>
                <c:pt idx="4">
                  <c:v>0.12697111546822223</c:v>
                </c:pt>
                <c:pt idx="5">
                  <c:v>-1.4404898025329287E-2</c:v>
                </c:pt>
                <c:pt idx="6">
                  <c:v>7.5888725304066934E-3</c:v>
                </c:pt>
                <c:pt idx="7">
                  <c:v>2.3136050384833181E-2</c:v>
                </c:pt>
                <c:pt idx="8">
                  <c:v>1.1647626102650724E-2</c:v>
                </c:pt>
                <c:pt idx="9">
                  <c:v>2.2039514686826769E-2</c:v>
                </c:pt>
                <c:pt idx="10">
                  <c:v>-3.5072838514443393E-2</c:v>
                </c:pt>
                <c:pt idx="11">
                  <c:v>3.6386723184462268E-2</c:v>
                </c:pt>
                <c:pt idx="12">
                  <c:v>1.5376550230384908E-2</c:v>
                </c:pt>
                <c:pt idx="13">
                  <c:v>2.7098169388840878E-2</c:v>
                </c:pt>
                <c:pt idx="14">
                  <c:v>1.0634439620683009E-2</c:v>
                </c:pt>
                <c:pt idx="15">
                  <c:v>0.89221139861317211</c:v>
                </c:pt>
                <c:pt idx="16">
                  <c:v>0.11833292601759379</c:v>
                </c:pt>
                <c:pt idx="17">
                  <c:v>2.6078202674909373E-2</c:v>
                </c:pt>
                <c:pt idx="18">
                  <c:v>2.7432072230426919E-2</c:v>
                </c:pt>
                <c:pt idx="19">
                  <c:v>2.8907961629259554E-2</c:v>
                </c:pt>
              </c:numCache>
            </c:numRef>
          </c:val>
          <c:smooth val="0"/>
          <c:extLst>
            <c:ext xmlns:c16="http://schemas.microsoft.com/office/drawing/2014/chart" uri="{C3380CC4-5D6E-409C-BE32-E72D297353CC}">
              <c16:uniqueId val="{00000001-8E52-4230-8B39-1495DC6809D9}"/>
            </c:ext>
          </c:extLst>
        </c:ser>
        <c:dLbls>
          <c:showLegendKey val="0"/>
          <c:showVal val="0"/>
          <c:showCatName val="0"/>
          <c:showSerName val="0"/>
          <c:showPercent val="0"/>
          <c:showBubbleSize val="0"/>
        </c:dLbls>
        <c:marker val="1"/>
        <c:smooth val="0"/>
        <c:axId val="788429535"/>
        <c:axId val="1563613263"/>
      </c:lineChart>
      <c:catAx>
        <c:axId val="1563614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611823"/>
        <c:crosses val="autoZero"/>
        <c:auto val="1"/>
        <c:lblAlgn val="ctr"/>
        <c:lblOffset val="100"/>
        <c:noMultiLvlLbl val="0"/>
      </c:catAx>
      <c:valAx>
        <c:axId val="15636118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MAD]\ * #,##0_);_([$MAD]\ * \(#,##0\);_([$MAD]\ *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614703"/>
        <c:crosses val="autoZero"/>
        <c:crossBetween val="between"/>
      </c:valAx>
      <c:valAx>
        <c:axId val="1563613263"/>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Y/Y Growth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429535"/>
        <c:crosses val="max"/>
        <c:crossBetween val="between"/>
      </c:valAx>
      <c:catAx>
        <c:axId val="788429535"/>
        <c:scaling>
          <c:orientation val="minMax"/>
        </c:scaling>
        <c:delete val="1"/>
        <c:axPos val="b"/>
        <c:numFmt formatCode="General" sourceLinked="1"/>
        <c:majorTickMark val="none"/>
        <c:minorTickMark val="none"/>
        <c:tickLblPos val="nextTo"/>
        <c:crossAx val="156361326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CAGR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and Graphics'!$W$11:$X$11</c:f>
              <c:strCache>
                <c:ptCount val="2"/>
                <c:pt idx="0">
                  <c:v>Historical CAGR</c:v>
                </c:pt>
                <c:pt idx="1">
                  <c:v>Projected Cagr</c:v>
                </c:pt>
              </c:strCache>
            </c:strRef>
          </c:cat>
          <c:val>
            <c:numRef>
              <c:f>'Summary and Graphics'!$W$12:$X$12</c:f>
              <c:numCache>
                <c:formatCode>0.00%</c:formatCode>
                <c:ptCount val="2"/>
                <c:pt idx="0">
                  <c:v>2.2344912401250916E-3</c:v>
                </c:pt>
                <c:pt idx="1">
                  <c:v>0.14717012812057217</c:v>
                </c:pt>
              </c:numCache>
            </c:numRef>
          </c:val>
          <c:extLst>
            <c:ext xmlns:c16="http://schemas.microsoft.com/office/drawing/2014/chart" uri="{C3380CC4-5D6E-409C-BE32-E72D297353CC}">
              <c16:uniqueId val="{00000000-3443-42B3-8338-C3C20764C09A}"/>
            </c:ext>
          </c:extLst>
        </c:ser>
        <c:dLbls>
          <c:dLblPos val="outEnd"/>
          <c:showLegendKey val="0"/>
          <c:showVal val="1"/>
          <c:showCatName val="0"/>
          <c:showSerName val="0"/>
          <c:showPercent val="0"/>
          <c:showBubbleSize val="0"/>
        </c:dLbls>
        <c:gapWidth val="219"/>
        <c:overlap val="-27"/>
        <c:axId val="1666967327"/>
        <c:axId val="1666965887"/>
      </c:barChart>
      <c:catAx>
        <c:axId val="1666967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965887"/>
        <c:crosses val="autoZero"/>
        <c:auto val="1"/>
        <c:lblAlgn val="ctr"/>
        <c:lblOffset val="100"/>
        <c:noMultiLvlLbl val="0"/>
      </c:catAx>
      <c:valAx>
        <c:axId val="1666965887"/>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crossAx val="16669673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Business Model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 and Graphics'!$W$15</c:f>
              <c:strCache>
                <c:ptCount val="1"/>
                <c:pt idx="0">
                  <c:v>Opening</c:v>
                </c:pt>
              </c:strCache>
            </c:strRef>
          </c:tx>
          <c:spPr>
            <a:solidFill>
              <a:schemeClr val="accent1"/>
            </a:solidFill>
            <a:ln>
              <a:noFill/>
            </a:ln>
            <a:effectLst/>
          </c:spPr>
          <c:invertIfNegative val="0"/>
          <c:cat>
            <c:numRef>
              <c:f>'Summary and Graphics'!$X$14:$AQ$14</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'Summary and Graphics'!$X$15:$AQ$15</c:f>
              <c:numCache>
                <c:formatCode>0.0%</c:formatCode>
                <c:ptCount val="20"/>
                <c:pt idx="0">
                  <c:v>6.2475893469566876E-2</c:v>
                </c:pt>
                <c:pt idx="1">
                  <c:v>4.6359854436927188E-2</c:v>
                </c:pt>
                <c:pt idx="2">
                  <c:v>4.9557364989878144E-2</c:v>
                </c:pt>
                <c:pt idx="3">
                  <c:v>4.7329092957861522E-2</c:v>
                </c:pt>
                <c:pt idx="4">
                  <c:v>3.5614478514939762E-2</c:v>
                </c:pt>
                <c:pt idx="5">
                  <c:v>2.7952935054626465E-2</c:v>
                </c:pt>
                <c:pt idx="6">
                  <c:v>0</c:v>
                </c:pt>
                <c:pt idx="7">
                  <c:v>0</c:v>
                </c:pt>
                <c:pt idx="8">
                  <c:v>0</c:v>
                </c:pt>
                <c:pt idx="9">
                  <c:v>0</c:v>
                </c:pt>
                <c:pt idx="10">
                  <c:v>0</c:v>
                </c:pt>
                <c:pt idx="11">
                  <c:v>0</c:v>
                </c:pt>
                <c:pt idx="12">
                  <c:v>0</c:v>
                </c:pt>
                <c:pt idx="13">
                  <c:v>0</c:v>
                </c:pt>
                <c:pt idx="14">
                  <c:v>0</c:v>
                </c:pt>
                <c:pt idx="15">
                  <c:v>3.8987019915698362E-2</c:v>
                </c:pt>
                <c:pt idx="16">
                  <c:v>2.2401749395369295E-2</c:v>
                </c:pt>
                <c:pt idx="17">
                  <c:v>3.262385688761886E-2</c:v>
                </c:pt>
                <c:pt idx="18">
                  <c:v>3.1758705067593117E-2</c:v>
                </c:pt>
                <c:pt idx="19">
                  <c:v>3.0947846988559985E-2</c:v>
                </c:pt>
              </c:numCache>
            </c:numRef>
          </c:val>
          <c:extLst>
            <c:ext xmlns:c16="http://schemas.microsoft.com/office/drawing/2014/chart" uri="{C3380CC4-5D6E-409C-BE32-E72D297353CC}">
              <c16:uniqueId val="{00000000-9D86-4389-BBF8-70CD43B265CA}"/>
            </c:ext>
          </c:extLst>
        </c:ser>
        <c:ser>
          <c:idx val="1"/>
          <c:order val="1"/>
          <c:tx>
            <c:strRef>
              <c:f>'Summary and Graphics'!$W$16</c:f>
              <c:strCache>
                <c:ptCount val="1"/>
                <c:pt idx="0">
                  <c:v>Expansion</c:v>
                </c:pt>
              </c:strCache>
            </c:strRef>
          </c:tx>
          <c:spPr>
            <a:solidFill>
              <a:schemeClr val="accent2"/>
            </a:solidFill>
            <a:ln>
              <a:noFill/>
            </a:ln>
            <a:effectLst/>
          </c:spPr>
          <c:invertIfNegative val="0"/>
          <c:cat>
            <c:numRef>
              <c:f>'Summary and Graphics'!$X$14:$AQ$14</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'Summary and Graphics'!$X$16:$AQ$16</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0.43497296010393988</c:v>
                </c:pt>
                <c:pt idx="16">
                  <c:v>0.54661392896503236</c:v>
                </c:pt>
                <c:pt idx="17">
                  <c:v>8.5702081814199567E-4</c:v>
                </c:pt>
                <c:pt idx="18">
                  <c:v>8.2696774360448003E-4</c:v>
                </c:pt>
                <c:pt idx="19">
                  <c:v>5.9912948064968683E-4</c:v>
                </c:pt>
              </c:numCache>
            </c:numRef>
          </c:val>
          <c:extLst>
            <c:ext xmlns:c16="http://schemas.microsoft.com/office/drawing/2014/chart" uri="{C3380CC4-5D6E-409C-BE32-E72D297353CC}">
              <c16:uniqueId val="{00000001-9D86-4389-BBF8-70CD43B265CA}"/>
            </c:ext>
          </c:extLst>
        </c:ser>
        <c:ser>
          <c:idx val="2"/>
          <c:order val="2"/>
          <c:tx>
            <c:strRef>
              <c:f>'Summary and Graphics'!$W$17</c:f>
              <c:strCache>
                <c:ptCount val="1"/>
                <c:pt idx="0">
                  <c:v>Green Balima</c:v>
                </c:pt>
              </c:strCache>
            </c:strRef>
          </c:tx>
          <c:spPr>
            <a:solidFill>
              <a:schemeClr val="accent3"/>
            </a:solidFill>
            <a:ln>
              <a:noFill/>
            </a:ln>
            <a:effectLst/>
          </c:spPr>
          <c:invertIfNegative val="0"/>
          <c:cat>
            <c:numRef>
              <c:f>'Summary and Graphics'!$X$14:$AQ$14</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'Summary and Graphics'!$X$17:$AQ$17</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7.9382317342880527E-3</c:v>
                </c:pt>
                <c:pt idx="16">
                  <c:v>7.9327191505129417E-5</c:v>
                </c:pt>
                <c:pt idx="17">
                  <c:v>1.4997864317484923E-4</c:v>
                </c:pt>
                <c:pt idx="18">
                  <c:v>8.2696774360448006E-5</c:v>
                </c:pt>
                <c:pt idx="19">
                  <c:v>5.9912948064968679E-5</c:v>
                </c:pt>
              </c:numCache>
            </c:numRef>
          </c:val>
          <c:extLst>
            <c:ext xmlns:c16="http://schemas.microsoft.com/office/drawing/2014/chart" uri="{C3380CC4-5D6E-409C-BE32-E72D297353CC}">
              <c16:uniqueId val="{00000002-9D86-4389-BBF8-70CD43B265CA}"/>
            </c:ext>
          </c:extLst>
        </c:ser>
        <c:ser>
          <c:idx val="3"/>
          <c:order val="3"/>
          <c:tx>
            <c:strRef>
              <c:f>'Summary and Graphics'!$W$18</c:f>
              <c:strCache>
                <c:ptCount val="1"/>
                <c:pt idx="0">
                  <c:v>Marketing</c:v>
                </c:pt>
              </c:strCache>
            </c:strRef>
          </c:tx>
          <c:spPr>
            <a:solidFill>
              <a:schemeClr val="accent4"/>
            </a:solidFill>
            <a:ln>
              <a:noFill/>
            </a:ln>
            <a:effectLst/>
          </c:spPr>
          <c:invertIfNegative val="0"/>
          <c:cat>
            <c:numRef>
              <c:f>'Summary and Graphics'!$X$14:$AQ$14</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'Summary and Graphics'!$X$18:$AQ$18</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2.4167918628980019E-3</c:v>
                </c:pt>
                <c:pt idx="16">
                  <c:v>1.4378053460304707E-3</c:v>
                </c:pt>
                <c:pt idx="17">
                  <c:v>1.9282968408194901E-3</c:v>
                </c:pt>
                <c:pt idx="18">
                  <c:v>1.5092161320781762E-3</c:v>
                </c:pt>
                <c:pt idx="19">
                  <c:v>1.4179397708709255E-3</c:v>
                </c:pt>
              </c:numCache>
            </c:numRef>
          </c:val>
          <c:extLst>
            <c:ext xmlns:c16="http://schemas.microsoft.com/office/drawing/2014/chart" uri="{C3380CC4-5D6E-409C-BE32-E72D297353CC}">
              <c16:uniqueId val="{00000003-9D86-4389-BBF8-70CD43B265CA}"/>
            </c:ext>
          </c:extLst>
        </c:ser>
        <c:ser>
          <c:idx val="4"/>
          <c:order val="4"/>
          <c:tx>
            <c:strRef>
              <c:f>'Summary and Graphics'!$W$19</c:f>
              <c:strCache>
                <c:ptCount val="1"/>
                <c:pt idx="0">
                  <c:v>COGS</c:v>
                </c:pt>
              </c:strCache>
            </c:strRef>
          </c:tx>
          <c:spPr>
            <a:solidFill>
              <a:schemeClr val="bg1">
                <a:lumMod val="65000"/>
              </a:schemeClr>
            </a:solidFill>
            <a:ln>
              <a:noFill/>
            </a:ln>
            <a:effectLst/>
          </c:spPr>
          <c:invertIfNegative val="0"/>
          <c:cat>
            <c:numRef>
              <c:f>'Summary and Graphics'!$X$14:$AQ$14</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'Summary and Graphics'!$X$19:$AQ$19</c:f>
              <c:numCache>
                <c:formatCode>0.0%</c:formatCode>
                <c:ptCount val="20"/>
                <c:pt idx="0">
                  <c:v>0.93752410653043317</c:v>
                </c:pt>
                <c:pt idx="1">
                  <c:v>0.95364014556307275</c:v>
                </c:pt>
                <c:pt idx="2">
                  <c:v>0.95044263501012183</c:v>
                </c:pt>
                <c:pt idx="3">
                  <c:v>0.95267090704213842</c:v>
                </c:pt>
                <c:pt idx="4">
                  <c:v>0.96438552148506018</c:v>
                </c:pt>
                <c:pt idx="5">
                  <c:v>0.97204706494537341</c:v>
                </c:pt>
                <c:pt idx="6">
                  <c:v>1</c:v>
                </c:pt>
                <c:pt idx="7">
                  <c:v>1</c:v>
                </c:pt>
                <c:pt idx="8">
                  <c:v>1</c:v>
                </c:pt>
                <c:pt idx="9">
                  <c:v>1</c:v>
                </c:pt>
                <c:pt idx="10">
                  <c:v>1</c:v>
                </c:pt>
                <c:pt idx="11">
                  <c:v>1</c:v>
                </c:pt>
                <c:pt idx="12">
                  <c:v>1</c:v>
                </c:pt>
                <c:pt idx="13">
                  <c:v>1</c:v>
                </c:pt>
                <c:pt idx="14">
                  <c:v>1</c:v>
                </c:pt>
                <c:pt idx="15">
                  <c:v>0.51568499638317555</c:v>
                </c:pt>
                <c:pt idx="16">
                  <c:v>0.42946718910206272</c:v>
                </c:pt>
                <c:pt idx="17">
                  <c:v>0.96444084681024478</c:v>
                </c:pt>
                <c:pt idx="18">
                  <c:v>0.96582241428236371</c:v>
                </c:pt>
                <c:pt idx="19">
                  <c:v>0.96697517081185447</c:v>
                </c:pt>
              </c:numCache>
            </c:numRef>
          </c:val>
          <c:extLst>
            <c:ext xmlns:c16="http://schemas.microsoft.com/office/drawing/2014/chart" uri="{C3380CC4-5D6E-409C-BE32-E72D297353CC}">
              <c16:uniqueId val="{00000004-9D86-4389-BBF8-70CD43B265CA}"/>
            </c:ext>
          </c:extLst>
        </c:ser>
        <c:dLbls>
          <c:showLegendKey val="0"/>
          <c:showVal val="0"/>
          <c:showCatName val="0"/>
          <c:showSerName val="0"/>
          <c:showPercent val="0"/>
          <c:showBubbleSize val="0"/>
        </c:dLbls>
        <c:gapWidth val="150"/>
        <c:overlap val="100"/>
        <c:axId val="1666974527"/>
        <c:axId val="1666975007"/>
      </c:barChart>
      <c:catAx>
        <c:axId val="1666974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975007"/>
        <c:crosses val="autoZero"/>
        <c:auto val="1"/>
        <c:lblAlgn val="ctr"/>
        <c:lblOffset val="100"/>
        <c:noMultiLvlLbl val="0"/>
      </c:catAx>
      <c:valAx>
        <c:axId val="1666975007"/>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974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Income and Profitability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 and Graphics'!$W$32</c:f>
              <c:strCache>
                <c:ptCount val="1"/>
                <c:pt idx="0">
                  <c:v>Operating Income</c:v>
                </c:pt>
              </c:strCache>
            </c:strRef>
          </c:tx>
          <c:spPr>
            <a:solidFill>
              <a:schemeClr val="accent1"/>
            </a:solidFill>
            <a:ln>
              <a:noFill/>
            </a:ln>
            <a:effectLst/>
          </c:spPr>
          <c:invertIfNegative val="0"/>
          <c:cat>
            <c:numRef>
              <c:f>'Summary and Graphics'!$X$31:$AQ$31</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'Summary and Graphics'!$X$32:$AQ$32</c:f>
              <c:numCache>
                <c:formatCode>_(* #,##0.00_);_(* \(#,##0.00\);_(* "-"??_);_(@_)</c:formatCode>
                <c:ptCount val="20"/>
                <c:pt idx="0">
                  <c:v>16262102.212621626</c:v>
                </c:pt>
                <c:pt idx="1">
                  <c:v>15039167.893847745</c:v>
                </c:pt>
                <c:pt idx="2">
                  <c:v>17380930.796634506</c:v>
                </c:pt>
                <c:pt idx="3">
                  <c:v>14685823.442160971</c:v>
                </c:pt>
                <c:pt idx="4">
                  <c:v>5307776.812527597</c:v>
                </c:pt>
                <c:pt idx="5">
                  <c:v>-3385509.9336614385</c:v>
                </c:pt>
                <c:pt idx="6">
                  <c:v>-2881569.5600000024</c:v>
                </c:pt>
                <c:pt idx="7">
                  <c:v>-3084736.5800000019</c:v>
                </c:pt>
                <c:pt idx="8">
                  <c:v>-4706046.4199999981</c:v>
                </c:pt>
                <c:pt idx="9">
                  <c:v>-1905812.8699999973</c:v>
                </c:pt>
                <c:pt idx="10">
                  <c:v>3521561.7699999996</c:v>
                </c:pt>
                <c:pt idx="11">
                  <c:v>1769167.4299999997</c:v>
                </c:pt>
                <c:pt idx="12">
                  <c:v>-755819.42000000179</c:v>
                </c:pt>
                <c:pt idx="13">
                  <c:v>-2751588.5900000036</c:v>
                </c:pt>
                <c:pt idx="14">
                  <c:v>-5185648.1070481911</c:v>
                </c:pt>
                <c:pt idx="15">
                  <c:v>-5716702.6341839135</c:v>
                </c:pt>
                <c:pt idx="16">
                  <c:v>-13832782.56968604</c:v>
                </c:pt>
                <c:pt idx="17">
                  <c:v>42365727.504633896</c:v>
                </c:pt>
                <c:pt idx="18">
                  <c:v>42907730.795969993</c:v>
                </c:pt>
                <c:pt idx="19">
                  <c:v>43682394.24762734</c:v>
                </c:pt>
              </c:numCache>
            </c:numRef>
          </c:val>
          <c:extLst>
            <c:ext xmlns:c16="http://schemas.microsoft.com/office/drawing/2014/chart" uri="{C3380CC4-5D6E-409C-BE32-E72D297353CC}">
              <c16:uniqueId val="{00000000-7A0F-47E5-AD43-F483CB8E7C0B}"/>
            </c:ext>
          </c:extLst>
        </c:ser>
        <c:dLbls>
          <c:showLegendKey val="0"/>
          <c:showVal val="0"/>
          <c:showCatName val="0"/>
          <c:showSerName val="0"/>
          <c:showPercent val="0"/>
          <c:showBubbleSize val="0"/>
        </c:dLbls>
        <c:gapWidth val="219"/>
        <c:overlap val="-27"/>
        <c:axId val="1666965407"/>
        <c:axId val="1666967807"/>
      </c:barChart>
      <c:lineChart>
        <c:grouping val="standard"/>
        <c:varyColors val="0"/>
        <c:ser>
          <c:idx val="1"/>
          <c:order val="1"/>
          <c:tx>
            <c:strRef>
              <c:f>'Summary and Graphics'!$W$33</c:f>
              <c:strCache>
                <c:ptCount val="1"/>
                <c:pt idx="0">
                  <c:v>OI %</c:v>
                </c:pt>
              </c:strCache>
            </c:strRef>
          </c:tx>
          <c:spPr>
            <a:ln w="28575" cap="rnd">
              <a:solidFill>
                <a:schemeClr val="accent2"/>
              </a:solidFill>
              <a:round/>
            </a:ln>
            <a:effectLst/>
          </c:spPr>
          <c:marker>
            <c:symbol val="none"/>
          </c:marker>
          <c:cat>
            <c:numRef>
              <c:f>'Summary and Graphics'!$X$31:$AQ$31</c:f>
              <c:numCache>
                <c:formatCode>General</c:formatCode>
                <c:ptCount val="20"/>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pt idx="16">
                  <c:v>2026</c:v>
                </c:pt>
                <c:pt idx="17">
                  <c:v>2027</c:v>
                </c:pt>
                <c:pt idx="18">
                  <c:v>2028</c:v>
                </c:pt>
                <c:pt idx="19">
                  <c:v>2029</c:v>
                </c:pt>
              </c:numCache>
            </c:numRef>
          </c:cat>
          <c:val>
            <c:numRef>
              <c:f>'Summary and Graphics'!$X$33:$AQ$33</c:f>
              <c:numCache>
                <c:formatCode>0.0%</c:formatCode>
                <c:ptCount val="20"/>
                <c:pt idx="0">
                  <c:v>0.34524914125678913</c:v>
                </c:pt>
                <c:pt idx="1">
                  <c:v>0.41408088029174378</c:v>
                </c:pt>
                <c:pt idx="2">
                  <c:v>0.45614658279158932</c:v>
                </c:pt>
                <c:pt idx="3">
                  <c:v>0.37396695259740265</c:v>
                </c:pt>
                <c:pt idx="4">
                  <c:v>0.11993192111576124</c:v>
                </c:pt>
                <c:pt idx="5">
                  <c:v>-7.7615363083021721E-2</c:v>
                </c:pt>
                <c:pt idx="6">
                  <c:v>-6.5564589451500704E-2</c:v>
                </c:pt>
                <c:pt idx="7">
                  <c:v>-6.8600129336496785E-2</c:v>
                </c:pt>
                <c:pt idx="8">
                  <c:v>-0.10345078509912504</c:v>
                </c:pt>
                <c:pt idx="9">
                  <c:v>-4.0991154721745839E-2</c:v>
                </c:pt>
                <c:pt idx="10">
                  <c:v>7.8496569299685251E-2</c:v>
                </c:pt>
                <c:pt idx="11">
                  <c:v>3.805068333649185E-2</c:v>
                </c:pt>
                <c:pt idx="12">
                  <c:v>-1.6009746015243916E-2</c:v>
                </c:pt>
                <c:pt idx="13">
                  <c:v>-5.6746351050496142E-2</c:v>
                </c:pt>
                <c:pt idx="14">
                  <c:v>-0.10581893576184713</c:v>
                </c:pt>
                <c:pt idx="15">
                  <c:v>-6.1650456192848119E-2</c:v>
                </c:pt>
                <c:pt idx="16">
                  <c:v>-0.1333917995141273</c:v>
                </c:pt>
                <c:pt idx="17">
                  <c:v>0.39815647933732612</c:v>
                </c:pt>
                <c:pt idx="18">
                  <c:v>0.39248363012121185</c:v>
                </c:pt>
                <c:pt idx="19">
                  <c:v>0.38834338062344581</c:v>
                </c:pt>
              </c:numCache>
            </c:numRef>
          </c:val>
          <c:smooth val="0"/>
          <c:extLst>
            <c:ext xmlns:c16="http://schemas.microsoft.com/office/drawing/2014/chart" uri="{C3380CC4-5D6E-409C-BE32-E72D297353CC}">
              <c16:uniqueId val="{00000001-7A0F-47E5-AD43-F483CB8E7C0B}"/>
            </c:ext>
          </c:extLst>
        </c:ser>
        <c:dLbls>
          <c:showLegendKey val="0"/>
          <c:showVal val="0"/>
          <c:showCatName val="0"/>
          <c:showSerName val="0"/>
          <c:showPercent val="0"/>
          <c:showBubbleSize val="0"/>
        </c:dLbls>
        <c:marker val="1"/>
        <c:smooth val="0"/>
        <c:axId val="1699270015"/>
        <c:axId val="1666959647"/>
      </c:lineChart>
      <c:catAx>
        <c:axId val="166696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1666967807"/>
        <c:crosses val="autoZero"/>
        <c:auto val="1"/>
        <c:lblAlgn val="ctr"/>
        <c:lblOffset val="100"/>
        <c:noMultiLvlLbl val="0"/>
      </c:catAx>
      <c:valAx>
        <c:axId val="1666967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Operating Incoe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MAD]\ * #,##0_);_([$MAD]\ * \(#,##0\);_([$MAD]\ *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965407"/>
        <c:crosses val="autoZero"/>
        <c:crossBetween val="between"/>
      </c:valAx>
      <c:valAx>
        <c:axId val="166695964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Operating 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270015"/>
        <c:crosses val="max"/>
        <c:crossBetween val="between"/>
      </c:valAx>
      <c:catAx>
        <c:axId val="1699270015"/>
        <c:scaling>
          <c:orientation val="minMax"/>
        </c:scaling>
        <c:delete val="1"/>
        <c:axPos val="b"/>
        <c:numFmt formatCode="General" sourceLinked="1"/>
        <c:majorTickMark val="none"/>
        <c:minorTickMark val="none"/>
        <c:tickLblPos val="nextTo"/>
        <c:crossAx val="166695964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Projects NPV and IRR</a:t>
            </a:r>
          </a:p>
        </c:rich>
      </c:tx>
      <c:layout>
        <c:manualLayout>
          <c:xMode val="edge"/>
          <c:yMode val="edge"/>
          <c:x val="0.26215966754155728"/>
          <c:y val="2.777777777777777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 and Graphics'!$X$35</c:f>
              <c:strCache>
                <c:ptCount val="1"/>
                <c:pt idx="0">
                  <c:v>NPV</c:v>
                </c:pt>
              </c:strCache>
            </c:strRef>
          </c:tx>
          <c:spPr>
            <a:solidFill>
              <a:schemeClr val="accent1"/>
            </a:solidFill>
            <a:ln>
              <a:noFill/>
            </a:ln>
            <a:effectLst/>
          </c:spPr>
          <c:invertIfNegative val="0"/>
          <c:cat>
            <c:strRef>
              <c:f>'Summary and Graphics'!$W$36:$W$39</c:f>
              <c:strCache>
                <c:ptCount val="4"/>
                <c:pt idx="0">
                  <c:v>Hotel Reopening</c:v>
                </c:pt>
                <c:pt idx="1">
                  <c:v>Expansion</c:v>
                </c:pt>
                <c:pt idx="2">
                  <c:v>Green Practices</c:v>
                </c:pt>
                <c:pt idx="3">
                  <c:v>Marketing</c:v>
                </c:pt>
              </c:strCache>
            </c:strRef>
          </c:cat>
          <c:val>
            <c:numRef>
              <c:f>'Summary and Graphics'!$X$36:$X$39</c:f>
              <c:numCache>
                <c:formatCode>_(* #,##0.00_);_(* \(#,##0.00\);_(* "-"??_);_(@_)</c:formatCode>
                <c:ptCount val="4"/>
                <c:pt idx="0">
                  <c:v>4640653.2639458738</c:v>
                </c:pt>
                <c:pt idx="1">
                  <c:v>163108318.04945517</c:v>
                </c:pt>
                <c:pt idx="2">
                  <c:v>13579296.166171245</c:v>
                </c:pt>
                <c:pt idx="3">
                  <c:v>94785.129747669416</c:v>
                </c:pt>
              </c:numCache>
            </c:numRef>
          </c:val>
          <c:extLst>
            <c:ext xmlns:c16="http://schemas.microsoft.com/office/drawing/2014/chart" uri="{C3380CC4-5D6E-409C-BE32-E72D297353CC}">
              <c16:uniqueId val="{00000000-6F1C-4876-8336-F480AE307238}"/>
            </c:ext>
          </c:extLst>
        </c:ser>
        <c:dLbls>
          <c:showLegendKey val="0"/>
          <c:showVal val="0"/>
          <c:showCatName val="0"/>
          <c:showSerName val="0"/>
          <c:showPercent val="0"/>
          <c:showBubbleSize val="0"/>
        </c:dLbls>
        <c:gapWidth val="219"/>
        <c:overlap val="-27"/>
        <c:axId val="788430495"/>
        <c:axId val="788427135"/>
      </c:barChart>
      <c:lineChart>
        <c:grouping val="standard"/>
        <c:varyColors val="0"/>
        <c:ser>
          <c:idx val="1"/>
          <c:order val="1"/>
          <c:tx>
            <c:strRef>
              <c:f>'Summary and Graphics'!$Y$35</c:f>
              <c:strCache>
                <c:ptCount val="1"/>
                <c:pt idx="0">
                  <c:v>IRR</c:v>
                </c:pt>
              </c:strCache>
            </c:strRef>
          </c:tx>
          <c:spPr>
            <a:ln w="28575" cap="rnd">
              <a:solidFill>
                <a:schemeClr val="accent2"/>
              </a:solidFill>
              <a:round/>
            </a:ln>
            <a:effectLst/>
          </c:spPr>
          <c:marker>
            <c:symbol val="none"/>
          </c:marker>
          <c:cat>
            <c:strRef>
              <c:f>'Summary and Graphics'!$W$36:$W$39</c:f>
              <c:strCache>
                <c:ptCount val="4"/>
                <c:pt idx="0">
                  <c:v>Hotel Reopening</c:v>
                </c:pt>
                <c:pt idx="1">
                  <c:v>Expansion</c:v>
                </c:pt>
                <c:pt idx="2">
                  <c:v>Green Practices</c:v>
                </c:pt>
                <c:pt idx="3">
                  <c:v>Marketing</c:v>
                </c:pt>
              </c:strCache>
            </c:strRef>
          </c:cat>
          <c:val>
            <c:numRef>
              <c:f>'Summary and Graphics'!$Y$36:$Y$39</c:f>
              <c:numCache>
                <c:formatCode>0%</c:formatCode>
                <c:ptCount val="4"/>
                <c:pt idx="0">
                  <c:v>0.39611584679033718</c:v>
                </c:pt>
                <c:pt idx="1">
                  <c:v>0.60179320001099512</c:v>
                </c:pt>
                <c:pt idx="2">
                  <c:v>0.67553445728262052</c:v>
                </c:pt>
                <c:pt idx="3">
                  <c:v>9.6690471492364427E-2</c:v>
                </c:pt>
              </c:numCache>
            </c:numRef>
          </c:val>
          <c:smooth val="0"/>
          <c:extLst>
            <c:ext xmlns:c16="http://schemas.microsoft.com/office/drawing/2014/chart" uri="{C3380CC4-5D6E-409C-BE32-E72D297353CC}">
              <c16:uniqueId val="{00000001-6F1C-4876-8336-F480AE307238}"/>
            </c:ext>
          </c:extLst>
        </c:ser>
        <c:dLbls>
          <c:showLegendKey val="0"/>
          <c:showVal val="0"/>
          <c:showCatName val="0"/>
          <c:showSerName val="0"/>
          <c:showPercent val="0"/>
          <c:showBubbleSize val="0"/>
        </c:dLbls>
        <c:marker val="1"/>
        <c:smooth val="0"/>
        <c:axId val="801751040"/>
        <c:axId val="788429055"/>
      </c:lineChart>
      <c:catAx>
        <c:axId val="78843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427135"/>
        <c:crosses val="autoZero"/>
        <c:auto val="1"/>
        <c:lblAlgn val="ctr"/>
        <c:lblOffset val="100"/>
        <c:noMultiLvlLbl val="0"/>
      </c:catAx>
      <c:valAx>
        <c:axId val="788427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NPV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430495"/>
        <c:crosses val="autoZero"/>
        <c:crossBetween val="between"/>
      </c:valAx>
      <c:valAx>
        <c:axId val="78842905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IRR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751040"/>
        <c:crosses val="max"/>
        <c:crossBetween val="between"/>
      </c:valAx>
      <c:catAx>
        <c:axId val="801751040"/>
        <c:scaling>
          <c:orientation val="minMax"/>
        </c:scaling>
        <c:delete val="1"/>
        <c:axPos val="b"/>
        <c:numFmt formatCode="General" sourceLinked="1"/>
        <c:majorTickMark val="none"/>
        <c:minorTickMark val="none"/>
        <c:tickLblPos val="nextTo"/>
        <c:crossAx val="78842905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Projects Profitability index and Payback Period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'Summary and Graphics'!$Z$35</c:f>
              <c:strCache>
                <c:ptCount val="1"/>
                <c:pt idx="0">
                  <c:v>Profitability Index</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and Graphics'!$W$36:$W$39</c:f>
              <c:strCache>
                <c:ptCount val="4"/>
                <c:pt idx="0">
                  <c:v>Hotel Reopening</c:v>
                </c:pt>
                <c:pt idx="1">
                  <c:v>Expansion</c:v>
                </c:pt>
                <c:pt idx="2">
                  <c:v>Green Practices</c:v>
                </c:pt>
                <c:pt idx="3">
                  <c:v>Marketing</c:v>
                </c:pt>
              </c:strCache>
            </c:strRef>
          </c:cat>
          <c:val>
            <c:numRef>
              <c:f>'Summary and Graphics'!$Z$36:$Z$39</c:f>
              <c:numCache>
                <c:formatCode>0%</c:formatCode>
                <c:ptCount val="4"/>
                <c:pt idx="0">
                  <c:v>0.72005901811684803</c:v>
                </c:pt>
                <c:pt idx="1">
                  <c:v>1.7118060876370689</c:v>
                </c:pt>
                <c:pt idx="2">
                  <c:v>2.4925286648625633</c:v>
                </c:pt>
                <c:pt idx="3">
                  <c:v>0.47392564873834708</c:v>
                </c:pt>
              </c:numCache>
            </c:numRef>
          </c:val>
          <c:extLst>
            <c:ext xmlns:c16="http://schemas.microsoft.com/office/drawing/2014/chart" uri="{C3380CC4-5D6E-409C-BE32-E72D297353CC}">
              <c16:uniqueId val="{00000000-6F0D-471C-A060-E4E19FE3BBF0}"/>
            </c:ext>
          </c:extLst>
        </c:ser>
        <c:ser>
          <c:idx val="1"/>
          <c:order val="1"/>
          <c:tx>
            <c:strRef>
              <c:f>'Summary and Graphics'!$AA$35</c:f>
              <c:strCache>
                <c:ptCount val="1"/>
                <c:pt idx="0">
                  <c:v>Payback Period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and Graphics'!$W$36:$W$39</c:f>
              <c:strCache>
                <c:ptCount val="4"/>
                <c:pt idx="0">
                  <c:v>Hotel Reopening</c:v>
                </c:pt>
                <c:pt idx="1">
                  <c:v>Expansion</c:v>
                </c:pt>
                <c:pt idx="2">
                  <c:v>Green Practices</c:v>
                </c:pt>
                <c:pt idx="3">
                  <c:v>Marketing</c:v>
                </c:pt>
              </c:strCache>
            </c:strRef>
          </c:cat>
          <c:val>
            <c:numRef>
              <c:f>'Summary and Graphics'!$AA$36:$AA$39</c:f>
              <c:numCache>
                <c:formatCode>_(* #,##0.00_);_(* \(#,##0.00\);_(* "-"??_);_(@_)</c:formatCode>
                <c:ptCount val="4"/>
                <c:pt idx="0">
                  <c:v>2.85188685105161</c:v>
                </c:pt>
                <c:pt idx="1">
                  <c:v>4.1979154496476543</c:v>
                </c:pt>
                <c:pt idx="2">
                  <c:v>2.579966302006063</c:v>
                </c:pt>
                <c:pt idx="3">
                  <c:v>2.5147718562943893</c:v>
                </c:pt>
              </c:numCache>
            </c:numRef>
          </c:val>
          <c:extLst>
            <c:ext xmlns:c16="http://schemas.microsoft.com/office/drawing/2014/chart" uri="{C3380CC4-5D6E-409C-BE32-E72D297353CC}">
              <c16:uniqueId val="{00000001-6F0D-471C-A060-E4E19FE3BBF0}"/>
            </c:ext>
          </c:extLst>
        </c:ser>
        <c:dLbls>
          <c:dLblPos val="outEnd"/>
          <c:showLegendKey val="0"/>
          <c:showVal val="1"/>
          <c:showCatName val="0"/>
          <c:showSerName val="0"/>
          <c:showPercent val="0"/>
          <c:showBubbleSize val="0"/>
        </c:dLbls>
        <c:gapWidth val="182"/>
        <c:axId val="801751520"/>
        <c:axId val="801753440"/>
      </c:barChart>
      <c:catAx>
        <c:axId val="801751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753440"/>
        <c:crosses val="autoZero"/>
        <c:auto val="1"/>
        <c:lblAlgn val="ctr"/>
        <c:lblOffset val="100"/>
        <c:noMultiLvlLbl val="0"/>
      </c:catAx>
      <c:valAx>
        <c:axId val="801753440"/>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801751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Projects NPV and IRR</a:t>
            </a:r>
          </a:p>
        </c:rich>
      </c:tx>
      <c:layout>
        <c:manualLayout>
          <c:xMode val="edge"/>
          <c:yMode val="edge"/>
          <c:x val="0.26215966754155728"/>
          <c:y val="2.777777777777777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 and Graphics'!$X$35</c:f>
              <c:strCache>
                <c:ptCount val="1"/>
                <c:pt idx="0">
                  <c:v>NPV</c:v>
                </c:pt>
              </c:strCache>
            </c:strRef>
          </c:tx>
          <c:spPr>
            <a:solidFill>
              <a:schemeClr val="accent1"/>
            </a:solidFill>
            <a:ln>
              <a:noFill/>
            </a:ln>
            <a:effectLst/>
          </c:spPr>
          <c:invertIfNegative val="0"/>
          <c:cat>
            <c:strRef>
              <c:f>'Summary and Graphics'!$W$36:$W$39</c:f>
              <c:strCache>
                <c:ptCount val="4"/>
                <c:pt idx="0">
                  <c:v>Hotel Reopening</c:v>
                </c:pt>
                <c:pt idx="1">
                  <c:v>Expansion</c:v>
                </c:pt>
                <c:pt idx="2">
                  <c:v>Green Practices</c:v>
                </c:pt>
                <c:pt idx="3">
                  <c:v>Marketing</c:v>
                </c:pt>
              </c:strCache>
            </c:strRef>
          </c:cat>
          <c:val>
            <c:numRef>
              <c:f>'Summary and Graphics'!$X$36:$X$39</c:f>
              <c:numCache>
                <c:formatCode>_(* #,##0.00_);_(* \(#,##0.00\);_(* "-"??_);_(@_)</c:formatCode>
                <c:ptCount val="4"/>
                <c:pt idx="0">
                  <c:v>4640653.2639458738</c:v>
                </c:pt>
                <c:pt idx="1">
                  <c:v>163108318.04945517</c:v>
                </c:pt>
                <c:pt idx="2">
                  <c:v>13579296.166171245</c:v>
                </c:pt>
                <c:pt idx="3">
                  <c:v>94785.129747669416</c:v>
                </c:pt>
              </c:numCache>
            </c:numRef>
          </c:val>
          <c:extLst>
            <c:ext xmlns:c16="http://schemas.microsoft.com/office/drawing/2014/chart" uri="{C3380CC4-5D6E-409C-BE32-E72D297353CC}">
              <c16:uniqueId val="{00000000-6BA7-4871-9126-E1B9B5902E94}"/>
            </c:ext>
          </c:extLst>
        </c:ser>
        <c:dLbls>
          <c:showLegendKey val="0"/>
          <c:showVal val="0"/>
          <c:showCatName val="0"/>
          <c:showSerName val="0"/>
          <c:showPercent val="0"/>
          <c:showBubbleSize val="0"/>
        </c:dLbls>
        <c:gapWidth val="219"/>
        <c:overlap val="-27"/>
        <c:axId val="788430495"/>
        <c:axId val="788427135"/>
      </c:barChart>
      <c:lineChart>
        <c:grouping val="standard"/>
        <c:varyColors val="0"/>
        <c:ser>
          <c:idx val="1"/>
          <c:order val="1"/>
          <c:tx>
            <c:strRef>
              <c:f>'Summary and Graphics'!$Y$35</c:f>
              <c:strCache>
                <c:ptCount val="1"/>
                <c:pt idx="0">
                  <c:v>IRR</c:v>
                </c:pt>
              </c:strCache>
            </c:strRef>
          </c:tx>
          <c:spPr>
            <a:ln w="28575" cap="rnd">
              <a:solidFill>
                <a:schemeClr val="accent2"/>
              </a:solidFill>
              <a:round/>
            </a:ln>
            <a:effectLst/>
          </c:spPr>
          <c:marker>
            <c:symbol val="none"/>
          </c:marker>
          <c:cat>
            <c:strRef>
              <c:f>'Summary and Graphics'!$W$36:$W$39</c:f>
              <c:strCache>
                <c:ptCount val="4"/>
                <c:pt idx="0">
                  <c:v>Hotel Reopening</c:v>
                </c:pt>
                <c:pt idx="1">
                  <c:v>Expansion</c:v>
                </c:pt>
                <c:pt idx="2">
                  <c:v>Green Practices</c:v>
                </c:pt>
                <c:pt idx="3">
                  <c:v>Marketing</c:v>
                </c:pt>
              </c:strCache>
            </c:strRef>
          </c:cat>
          <c:val>
            <c:numRef>
              <c:f>'Summary and Graphics'!$Y$36:$Y$39</c:f>
              <c:numCache>
                <c:formatCode>0%</c:formatCode>
                <c:ptCount val="4"/>
                <c:pt idx="0">
                  <c:v>0.39611584679033718</c:v>
                </c:pt>
                <c:pt idx="1">
                  <c:v>0.60179320001099512</c:v>
                </c:pt>
                <c:pt idx="2">
                  <c:v>0.67553445728262052</c:v>
                </c:pt>
                <c:pt idx="3">
                  <c:v>9.6690471492364427E-2</c:v>
                </c:pt>
              </c:numCache>
            </c:numRef>
          </c:val>
          <c:smooth val="0"/>
          <c:extLst>
            <c:ext xmlns:c16="http://schemas.microsoft.com/office/drawing/2014/chart" uri="{C3380CC4-5D6E-409C-BE32-E72D297353CC}">
              <c16:uniqueId val="{00000001-6BA7-4871-9126-E1B9B5902E94}"/>
            </c:ext>
          </c:extLst>
        </c:ser>
        <c:dLbls>
          <c:showLegendKey val="0"/>
          <c:showVal val="0"/>
          <c:showCatName val="0"/>
          <c:showSerName val="0"/>
          <c:showPercent val="0"/>
          <c:showBubbleSize val="0"/>
        </c:dLbls>
        <c:marker val="1"/>
        <c:smooth val="0"/>
        <c:axId val="801751040"/>
        <c:axId val="788429055"/>
      </c:lineChart>
      <c:catAx>
        <c:axId val="78843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427135"/>
        <c:crosses val="autoZero"/>
        <c:auto val="1"/>
        <c:lblAlgn val="ctr"/>
        <c:lblOffset val="100"/>
        <c:noMultiLvlLbl val="0"/>
      </c:catAx>
      <c:valAx>
        <c:axId val="788427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NPV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430495"/>
        <c:crosses val="autoZero"/>
        <c:crossBetween val="between"/>
      </c:valAx>
      <c:valAx>
        <c:axId val="78842905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IRR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751040"/>
        <c:crosses val="max"/>
        <c:crossBetween val="between"/>
      </c:valAx>
      <c:catAx>
        <c:axId val="801751040"/>
        <c:scaling>
          <c:orientation val="minMax"/>
        </c:scaling>
        <c:delete val="1"/>
        <c:axPos val="b"/>
        <c:numFmt formatCode="General" sourceLinked="1"/>
        <c:majorTickMark val="none"/>
        <c:minorTickMark val="none"/>
        <c:tickLblPos val="nextTo"/>
        <c:crossAx val="78842905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Projects Profitability index and Payback Period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'Summary and Graphics'!$Z$35</c:f>
              <c:strCache>
                <c:ptCount val="1"/>
                <c:pt idx="0">
                  <c:v>Profitability Index</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and Graphics'!$W$36:$W$39</c:f>
              <c:strCache>
                <c:ptCount val="4"/>
                <c:pt idx="0">
                  <c:v>Hotel Reopening</c:v>
                </c:pt>
                <c:pt idx="1">
                  <c:v>Expansion</c:v>
                </c:pt>
                <c:pt idx="2">
                  <c:v>Green Practices</c:v>
                </c:pt>
                <c:pt idx="3">
                  <c:v>Marketing</c:v>
                </c:pt>
              </c:strCache>
            </c:strRef>
          </c:cat>
          <c:val>
            <c:numRef>
              <c:f>'Summary and Graphics'!$Z$36:$Z$39</c:f>
              <c:numCache>
                <c:formatCode>0%</c:formatCode>
                <c:ptCount val="4"/>
                <c:pt idx="0">
                  <c:v>0.72005901811684803</c:v>
                </c:pt>
                <c:pt idx="1">
                  <c:v>1.7118060876370689</c:v>
                </c:pt>
                <c:pt idx="2">
                  <c:v>2.4925286648625633</c:v>
                </c:pt>
                <c:pt idx="3">
                  <c:v>0.47392564873834708</c:v>
                </c:pt>
              </c:numCache>
            </c:numRef>
          </c:val>
          <c:extLst>
            <c:ext xmlns:c16="http://schemas.microsoft.com/office/drawing/2014/chart" uri="{C3380CC4-5D6E-409C-BE32-E72D297353CC}">
              <c16:uniqueId val="{00000000-DA1E-4357-B85E-5BD653CD2C86}"/>
            </c:ext>
          </c:extLst>
        </c:ser>
        <c:ser>
          <c:idx val="1"/>
          <c:order val="1"/>
          <c:tx>
            <c:strRef>
              <c:f>'Summary and Graphics'!$AA$35</c:f>
              <c:strCache>
                <c:ptCount val="1"/>
                <c:pt idx="0">
                  <c:v>Payback Period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and Graphics'!$W$36:$W$39</c:f>
              <c:strCache>
                <c:ptCount val="4"/>
                <c:pt idx="0">
                  <c:v>Hotel Reopening</c:v>
                </c:pt>
                <c:pt idx="1">
                  <c:v>Expansion</c:v>
                </c:pt>
                <c:pt idx="2">
                  <c:v>Green Practices</c:v>
                </c:pt>
                <c:pt idx="3">
                  <c:v>Marketing</c:v>
                </c:pt>
              </c:strCache>
            </c:strRef>
          </c:cat>
          <c:val>
            <c:numRef>
              <c:f>'Summary and Graphics'!$AA$36:$AA$39</c:f>
              <c:numCache>
                <c:formatCode>_(* #,##0.00_);_(* \(#,##0.00\);_(* "-"??_);_(@_)</c:formatCode>
                <c:ptCount val="4"/>
                <c:pt idx="0">
                  <c:v>2.85188685105161</c:v>
                </c:pt>
                <c:pt idx="1">
                  <c:v>4.1979154496476543</c:v>
                </c:pt>
                <c:pt idx="2">
                  <c:v>2.579966302006063</c:v>
                </c:pt>
                <c:pt idx="3">
                  <c:v>2.5147718562943893</c:v>
                </c:pt>
              </c:numCache>
            </c:numRef>
          </c:val>
          <c:extLst>
            <c:ext xmlns:c16="http://schemas.microsoft.com/office/drawing/2014/chart" uri="{C3380CC4-5D6E-409C-BE32-E72D297353CC}">
              <c16:uniqueId val="{00000001-DA1E-4357-B85E-5BD653CD2C86}"/>
            </c:ext>
          </c:extLst>
        </c:ser>
        <c:dLbls>
          <c:dLblPos val="outEnd"/>
          <c:showLegendKey val="0"/>
          <c:showVal val="1"/>
          <c:showCatName val="0"/>
          <c:showSerName val="0"/>
          <c:showPercent val="0"/>
          <c:showBubbleSize val="0"/>
        </c:dLbls>
        <c:gapWidth val="182"/>
        <c:axId val="801751520"/>
        <c:axId val="801753440"/>
      </c:barChart>
      <c:catAx>
        <c:axId val="801751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753440"/>
        <c:crosses val="autoZero"/>
        <c:auto val="1"/>
        <c:lblAlgn val="ctr"/>
        <c:lblOffset val="100"/>
        <c:noMultiLvlLbl val="0"/>
      </c:catAx>
      <c:valAx>
        <c:axId val="801753440"/>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801751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Projects NPV and IRR</a:t>
            </a:r>
          </a:p>
        </c:rich>
      </c:tx>
      <c:layout>
        <c:manualLayout>
          <c:xMode val="edge"/>
          <c:yMode val="edge"/>
          <c:x val="0.26215966754155728"/>
          <c:y val="2.777777777777777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'[1]Summary and Graphics'!$X$35</c:f>
              <c:strCache>
                <c:ptCount val="1"/>
                <c:pt idx="0">
                  <c:v>NPV</c:v>
                </c:pt>
              </c:strCache>
            </c:strRef>
          </c:tx>
          <c:spPr>
            <a:solidFill>
              <a:schemeClr val="accent1"/>
            </a:solidFill>
            <a:ln>
              <a:noFill/>
            </a:ln>
            <a:effectLst/>
          </c:spPr>
          <c:invertIfNegative val="0"/>
          <c:cat>
            <c:strRef>
              <c:f>'[1]Summary and Graphics'!$W$36:$W$39</c:f>
              <c:strCache>
                <c:ptCount val="4"/>
                <c:pt idx="0">
                  <c:v>Hotel Reopening</c:v>
                </c:pt>
                <c:pt idx="1">
                  <c:v>Expansion</c:v>
                </c:pt>
                <c:pt idx="2">
                  <c:v>Green Practices</c:v>
                </c:pt>
                <c:pt idx="3">
                  <c:v>Marketing</c:v>
                </c:pt>
              </c:strCache>
            </c:strRef>
          </c:cat>
          <c:val>
            <c:numRef>
              <c:f>'[1]Summary and Graphics'!$X$36:$X$39</c:f>
              <c:numCache>
                <c:formatCode>General</c:formatCode>
                <c:ptCount val="4"/>
                <c:pt idx="0">
                  <c:v>3855403.8615799015</c:v>
                </c:pt>
                <c:pt idx="1">
                  <c:v>205121603.75199133</c:v>
                </c:pt>
                <c:pt idx="2">
                  <c:v>13460691.762371473</c:v>
                </c:pt>
                <c:pt idx="3">
                  <c:v>87108.254639520237</c:v>
                </c:pt>
              </c:numCache>
            </c:numRef>
          </c:val>
          <c:extLst>
            <c:ext xmlns:c16="http://schemas.microsoft.com/office/drawing/2014/chart" uri="{C3380CC4-5D6E-409C-BE32-E72D297353CC}">
              <c16:uniqueId val="{00000000-A1A5-42B2-A96B-FEC4116AD73C}"/>
            </c:ext>
          </c:extLst>
        </c:ser>
        <c:dLbls>
          <c:showLegendKey val="0"/>
          <c:showVal val="0"/>
          <c:showCatName val="0"/>
          <c:showSerName val="0"/>
          <c:showPercent val="0"/>
          <c:showBubbleSize val="0"/>
        </c:dLbls>
        <c:gapWidth val="219"/>
        <c:overlap val="-27"/>
        <c:axId val="788430495"/>
        <c:axId val="788427135"/>
      </c:barChart>
      <c:lineChart>
        <c:grouping val="standard"/>
        <c:varyColors val="0"/>
        <c:ser>
          <c:idx val="1"/>
          <c:order val="1"/>
          <c:tx>
            <c:strRef>
              <c:f>'[1]Summary and Graphics'!$Y$35</c:f>
              <c:strCache>
                <c:ptCount val="1"/>
                <c:pt idx="0">
                  <c:v>IRR</c:v>
                </c:pt>
              </c:strCache>
            </c:strRef>
          </c:tx>
          <c:spPr>
            <a:ln w="28575" cap="rnd">
              <a:solidFill>
                <a:schemeClr val="accent2"/>
              </a:solidFill>
              <a:round/>
            </a:ln>
            <a:effectLst/>
          </c:spPr>
          <c:marker>
            <c:symbol val="none"/>
          </c:marker>
          <c:cat>
            <c:strRef>
              <c:f>'[1]Summary and Graphics'!$W$36:$W$39</c:f>
              <c:strCache>
                <c:ptCount val="4"/>
                <c:pt idx="0">
                  <c:v>Hotel Reopening</c:v>
                </c:pt>
                <c:pt idx="1">
                  <c:v>Expansion</c:v>
                </c:pt>
                <c:pt idx="2">
                  <c:v>Green Practices</c:v>
                </c:pt>
                <c:pt idx="3">
                  <c:v>Marketing</c:v>
                </c:pt>
              </c:strCache>
            </c:strRef>
          </c:cat>
          <c:val>
            <c:numRef>
              <c:f>'[1]Summary and Graphics'!$Y$36:$Y$39</c:f>
              <c:numCache>
                <c:formatCode>General</c:formatCode>
                <c:ptCount val="4"/>
                <c:pt idx="0">
                  <c:v>0.35775698978773285</c:v>
                </c:pt>
                <c:pt idx="1">
                  <c:v>0.69814922553143499</c:v>
                </c:pt>
                <c:pt idx="2">
                  <c:v>0.67623663848694049</c:v>
                </c:pt>
                <c:pt idx="3">
                  <c:v>7.5776546303552017E-2</c:v>
                </c:pt>
              </c:numCache>
            </c:numRef>
          </c:val>
          <c:smooth val="0"/>
          <c:extLst>
            <c:ext xmlns:c16="http://schemas.microsoft.com/office/drawing/2014/chart" uri="{C3380CC4-5D6E-409C-BE32-E72D297353CC}">
              <c16:uniqueId val="{00000001-A1A5-42B2-A96B-FEC4116AD73C}"/>
            </c:ext>
          </c:extLst>
        </c:ser>
        <c:dLbls>
          <c:showLegendKey val="0"/>
          <c:showVal val="0"/>
          <c:showCatName val="0"/>
          <c:showSerName val="0"/>
          <c:showPercent val="0"/>
          <c:showBubbleSize val="0"/>
        </c:dLbls>
        <c:marker val="1"/>
        <c:smooth val="0"/>
        <c:axId val="801751040"/>
        <c:axId val="788429055"/>
      </c:lineChart>
      <c:catAx>
        <c:axId val="78843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427135"/>
        <c:crosses val="autoZero"/>
        <c:auto val="1"/>
        <c:lblAlgn val="ctr"/>
        <c:lblOffset val="100"/>
        <c:noMultiLvlLbl val="0"/>
      </c:catAx>
      <c:valAx>
        <c:axId val="788427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NPV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430495"/>
        <c:crosses val="autoZero"/>
        <c:crossBetween val="between"/>
      </c:valAx>
      <c:valAx>
        <c:axId val="78842905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IRR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751040"/>
        <c:crosses val="max"/>
        <c:crossBetween val="between"/>
      </c:valAx>
      <c:catAx>
        <c:axId val="801751040"/>
        <c:scaling>
          <c:orientation val="minMax"/>
        </c:scaling>
        <c:delete val="1"/>
        <c:axPos val="b"/>
        <c:numFmt formatCode="General" sourceLinked="1"/>
        <c:majorTickMark val="none"/>
        <c:minorTickMark val="none"/>
        <c:tickLblPos val="nextTo"/>
        <c:crossAx val="78842905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Projects Profitability index and Payback Period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'[1]Summary and Graphics'!$Z$35</c:f>
              <c:strCache>
                <c:ptCount val="1"/>
                <c:pt idx="0">
                  <c:v>Profitability Index</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'[1]Summary and Graphics'!$W$36:$W$39</c:f>
              <c:strCache>
                <c:ptCount val="4"/>
                <c:pt idx="0">
                  <c:v>Hotel Reopening</c:v>
                </c:pt>
                <c:pt idx="1">
                  <c:v>Expansion</c:v>
                </c:pt>
                <c:pt idx="2">
                  <c:v>Green Practices</c:v>
                </c:pt>
                <c:pt idx="3">
                  <c:v>Marketing</c:v>
                </c:pt>
              </c:strCache>
            </c:strRef>
          </c:cat>
          <c:val>
            <c:numRef>
              <c:f>'[1]Summary and Graphics'!$Z$36:$Z$39</c:f>
              <c:numCache>
                <c:formatCode>General</c:formatCode>
                <c:ptCount val="4"/>
                <c:pt idx="0">
                  <c:v>0.59948900539675454</c:v>
                </c:pt>
                <c:pt idx="1">
                  <c:v>2.1527314744430979</c:v>
                </c:pt>
                <c:pt idx="2">
                  <c:v>2.470758399847921</c:v>
                </c:pt>
                <c:pt idx="3">
                  <c:v>0.43554127319760116</c:v>
                </c:pt>
              </c:numCache>
            </c:numRef>
          </c:val>
          <c:extLst>
            <c:ext xmlns:c16="http://schemas.microsoft.com/office/drawing/2014/chart" uri="{C3380CC4-5D6E-409C-BE32-E72D297353CC}">
              <c16:uniqueId val="{00000000-99B7-45FA-B673-26307570545A}"/>
            </c:ext>
          </c:extLst>
        </c:ser>
        <c:ser>
          <c:idx val="1"/>
          <c:order val="1"/>
          <c:tx>
            <c:strRef>
              <c:f>'[1]Summary and Graphics'!$AA$35</c:f>
              <c:strCache>
                <c:ptCount val="1"/>
                <c:pt idx="0">
                  <c:v>Payback Period</c:v>
                </c:pt>
              </c:strCache>
            </c:strRef>
          </c:tx>
          <c:spPr>
            <a:solidFill>
              <a:schemeClr val="accent2"/>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'[1]Summary and Graphics'!$W$36:$W$39</c:f>
              <c:strCache>
                <c:ptCount val="4"/>
                <c:pt idx="0">
                  <c:v>Hotel Reopening</c:v>
                </c:pt>
                <c:pt idx="1">
                  <c:v>Expansion</c:v>
                </c:pt>
                <c:pt idx="2">
                  <c:v>Green Practices</c:v>
                </c:pt>
                <c:pt idx="3">
                  <c:v>Marketing</c:v>
                </c:pt>
              </c:strCache>
            </c:strRef>
          </c:cat>
          <c:val>
            <c:numRef>
              <c:f>'[1]Summary and Graphics'!$AA$36:$AA$39</c:f>
              <c:numCache>
                <c:formatCode>General</c:formatCode>
                <c:ptCount val="4"/>
                <c:pt idx="0">
                  <c:v>2.8587650616050841</c:v>
                </c:pt>
                <c:pt idx="1">
                  <c:v>4.1385292777162466</c:v>
                </c:pt>
                <c:pt idx="2">
                  <c:v>2.5718542363759886</c:v>
                </c:pt>
                <c:pt idx="3">
                  <c:v>2.5253950780584185</c:v>
                </c:pt>
              </c:numCache>
            </c:numRef>
          </c:val>
          <c:extLst>
            <c:ext xmlns:c16="http://schemas.microsoft.com/office/drawing/2014/chart" uri="{C3380CC4-5D6E-409C-BE32-E72D297353CC}">
              <c16:uniqueId val="{00000001-99B7-45FA-B673-26307570545A}"/>
            </c:ext>
          </c:extLst>
        </c:ser>
        <c:dLbls>
          <c:dLblPos val="outEnd"/>
          <c:showLegendKey val="0"/>
          <c:showVal val="1"/>
          <c:showCatName val="0"/>
          <c:showSerName val="0"/>
          <c:showPercent val="0"/>
          <c:showBubbleSize val="0"/>
        </c:dLbls>
        <c:gapWidth val="182"/>
        <c:axId val="801751520"/>
        <c:axId val="801753440"/>
      </c:barChart>
      <c:catAx>
        <c:axId val="801751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753440"/>
        <c:crosses val="autoZero"/>
        <c:auto val="1"/>
        <c:lblAlgn val="ctr"/>
        <c:lblOffset val="100"/>
        <c:noMultiLvlLbl val="0"/>
      </c:catAx>
      <c:valAx>
        <c:axId val="801753440"/>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01751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Projects NPV and IRR</a:t>
            </a:r>
          </a:p>
        </c:rich>
      </c:tx>
      <c:layout>
        <c:manualLayout>
          <c:xMode val="edge"/>
          <c:yMode val="edge"/>
          <c:x val="0.26215966754155728"/>
          <c:y val="2.777777777777777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'[2]Summary and Graphics'!$X$35</c:f>
              <c:strCache>
                <c:ptCount val="1"/>
                <c:pt idx="0">
                  <c:v>NPV</c:v>
                </c:pt>
              </c:strCache>
            </c:strRef>
          </c:tx>
          <c:spPr>
            <a:solidFill>
              <a:schemeClr val="accent1"/>
            </a:solidFill>
            <a:ln>
              <a:noFill/>
            </a:ln>
            <a:effectLst/>
          </c:spPr>
          <c:invertIfNegative val="0"/>
          <c:cat>
            <c:strRef>
              <c:f>'[2]Summary and Graphics'!$W$36:$W$39</c:f>
              <c:strCache>
                <c:ptCount val="4"/>
                <c:pt idx="0">
                  <c:v>Hotel Reopening</c:v>
                </c:pt>
                <c:pt idx="1">
                  <c:v>Expansion</c:v>
                </c:pt>
                <c:pt idx="2">
                  <c:v>Green Practices</c:v>
                </c:pt>
                <c:pt idx="3">
                  <c:v>Marketing</c:v>
                </c:pt>
              </c:strCache>
            </c:strRef>
          </c:cat>
          <c:val>
            <c:numRef>
              <c:f>'[2]Summary and Graphics'!$X$36:$X$39</c:f>
              <c:numCache>
                <c:formatCode>General</c:formatCode>
                <c:ptCount val="4"/>
                <c:pt idx="0">
                  <c:v>5470604.3290554825</c:v>
                </c:pt>
                <c:pt idx="1">
                  <c:v>164641847.93638948</c:v>
                </c:pt>
                <c:pt idx="2">
                  <c:v>13630878.444786102</c:v>
                </c:pt>
                <c:pt idx="3">
                  <c:v>102662.73000070847</c:v>
                </c:pt>
              </c:numCache>
            </c:numRef>
          </c:val>
          <c:extLst>
            <c:ext xmlns:c16="http://schemas.microsoft.com/office/drawing/2014/chart" uri="{C3380CC4-5D6E-409C-BE32-E72D297353CC}">
              <c16:uniqueId val="{00000000-E0D6-441D-9868-EC9136DED9E0}"/>
            </c:ext>
          </c:extLst>
        </c:ser>
        <c:dLbls>
          <c:showLegendKey val="0"/>
          <c:showVal val="0"/>
          <c:showCatName val="0"/>
          <c:showSerName val="0"/>
          <c:showPercent val="0"/>
          <c:showBubbleSize val="0"/>
        </c:dLbls>
        <c:gapWidth val="219"/>
        <c:overlap val="-27"/>
        <c:axId val="788430495"/>
        <c:axId val="788427135"/>
      </c:barChart>
      <c:lineChart>
        <c:grouping val="standard"/>
        <c:varyColors val="0"/>
        <c:ser>
          <c:idx val="1"/>
          <c:order val="1"/>
          <c:tx>
            <c:strRef>
              <c:f>'[2]Summary and Graphics'!$Y$35</c:f>
              <c:strCache>
                <c:ptCount val="1"/>
                <c:pt idx="0">
                  <c:v>IRR</c:v>
                </c:pt>
              </c:strCache>
            </c:strRef>
          </c:tx>
          <c:spPr>
            <a:ln w="28575" cap="rnd">
              <a:solidFill>
                <a:schemeClr val="accent2"/>
              </a:solidFill>
              <a:round/>
            </a:ln>
            <a:effectLst/>
          </c:spPr>
          <c:marker>
            <c:symbol val="none"/>
          </c:marker>
          <c:cat>
            <c:strRef>
              <c:f>'[2]Summary and Graphics'!$W$36:$W$39</c:f>
              <c:strCache>
                <c:ptCount val="4"/>
                <c:pt idx="0">
                  <c:v>Hotel Reopening</c:v>
                </c:pt>
                <c:pt idx="1">
                  <c:v>Expansion</c:v>
                </c:pt>
                <c:pt idx="2">
                  <c:v>Green Practices</c:v>
                </c:pt>
                <c:pt idx="3">
                  <c:v>Marketing</c:v>
                </c:pt>
              </c:strCache>
            </c:strRef>
          </c:cat>
          <c:val>
            <c:numRef>
              <c:f>'[2]Summary and Graphics'!$Y$36:$Y$39</c:f>
              <c:numCache>
                <c:formatCode>General</c:formatCode>
                <c:ptCount val="4"/>
                <c:pt idx="0">
                  <c:v>0.43369239059818954</c:v>
                </c:pt>
                <c:pt idx="1">
                  <c:v>0.60608225577778718</c:v>
                </c:pt>
                <c:pt idx="2">
                  <c:v>0.67294644066913145</c:v>
                </c:pt>
                <c:pt idx="3">
                  <c:v>0.11772163824240955</c:v>
                </c:pt>
              </c:numCache>
            </c:numRef>
          </c:val>
          <c:smooth val="0"/>
          <c:extLst>
            <c:ext xmlns:c16="http://schemas.microsoft.com/office/drawing/2014/chart" uri="{C3380CC4-5D6E-409C-BE32-E72D297353CC}">
              <c16:uniqueId val="{00000001-E0D6-441D-9868-EC9136DED9E0}"/>
            </c:ext>
          </c:extLst>
        </c:ser>
        <c:dLbls>
          <c:showLegendKey val="0"/>
          <c:showVal val="0"/>
          <c:showCatName val="0"/>
          <c:showSerName val="0"/>
          <c:showPercent val="0"/>
          <c:showBubbleSize val="0"/>
        </c:dLbls>
        <c:marker val="1"/>
        <c:smooth val="0"/>
        <c:axId val="801751040"/>
        <c:axId val="788429055"/>
      </c:lineChart>
      <c:catAx>
        <c:axId val="78843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427135"/>
        <c:crosses val="autoZero"/>
        <c:auto val="1"/>
        <c:lblAlgn val="ctr"/>
        <c:lblOffset val="100"/>
        <c:noMultiLvlLbl val="0"/>
      </c:catAx>
      <c:valAx>
        <c:axId val="788427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NPV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430495"/>
        <c:crosses val="autoZero"/>
        <c:crossBetween val="between"/>
      </c:valAx>
      <c:valAx>
        <c:axId val="78842905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IRR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751040"/>
        <c:crosses val="max"/>
        <c:crossBetween val="between"/>
      </c:valAx>
      <c:catAx>
        <c:axId val="801751040"/>
        <c:scaling>
          <c:orientation val="minMax"/>
        </c:scaling>
        <c:delete val="1"/>
        <c:axPos val="b"/>
        <c:numFmt formatCode="General" sourceLinked="1"/>
        <c:majorTickMark val="none"/>
        <c:minorTickMark val="none"/>
        <c:tickLblPos val="nextTo"/>
        <c:crossAx val="78842905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Projects Profitability index and Payback Period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'[2]Summary and Graphics'!$Z$35</c:f>
              <c:strCache>
                <c:ptCount val="1"/>
                <c:pt idx="0">
                  <c:v>Profitability Index</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'[2]Summary and Graphics'!$W$36:$W$39</c:f>
              <c:strCache>
                <c:ptCount val="4"/>
                <c:pt idx="0">
                  <c:v>Hotel Reopening</c:v>
                </c:pt>
                <c:pt idx="1">
                  <c:v>Expansion</c:v>
                </c:pt>
                <c:pt idx="2">
                  <c:v>Green Practices</c:v>
                </c:pt>
                <c:pt idx="3">
                  <c:v>Marketing</c:v>
                </c:pt>
              </c:strCache>
            </c:strRef>
          </c:cat>
          <c:val>
            <c:numRef>
              <c:f>'[2]Summary and Graphics'!$Z$36:$Z$39</c:f>
              <c:numCache>
                <c:formatCode>General</c:formatCode>
                <c:ptCount val="4"/>
                <c:pt idx="0">
                  <c:v>0.84703988779352235</c:v>
                </c:pt>
                <c:pt idx="1">
                  <c:v>1.727900336093678</c:v>
                </c:pt>
                <c:pt idx="2">
                  <c:v>2.5019967776773315</c:v>
                </c:pt>
                <c:pt idx="3">
                  <c:v>0.51331365000354234</c:v>
                </c:pt>
              </c:numCache>
            </c:numRef>
          </c:val>
          <c:extLst>
            <c:ext xmlns:c16="http://schemas.microsoft.com/office/drawing/2014/chart" uri="{C3380CC4-5D6E-409C-BE32-E72D297353CC}">
              <c16:uniqueId val="{00000000-4C73-4A73-9994-B42342A5A4ED}"/>
            </c:ext>
          </c:extLst>
        </c:ser>
        <c:ser>
          <c:idx val="1"/>
          <c:order val="1"/>
          <c:tx>
            <c:strRef>
              <c:f>'[2]Summary and Graphics'!$AA$35</c:f>
              <c:strCache>
                <c:ptCount val="1"/>
                <c:pt idx="0">
                  <c:v>Payback Period</c:v>
                </c:pt>
              </c:strCache>
            </c:strRef>
          </c:tx>
          <c:spPr>
            <a:solidFill>
              <a:schemeClr val="accent2"/>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'[2]Summary and Graphics'!$W$36:$W$39</c:f>
              <c:strCache>
                <c:ptCount val="4"/>
                <c:pt idx="0">
                  <c:v>Hotel Reopening</c:v>
                </c:pt>
                <c:pt idx="1">
                  <c:v>Expansion</c:v>
                </c:pt>
                <c:pt idx="2">
                  <c:v>Green Practices</c:v>
                </c:pt>
                <c:pt idx="3">
                  <c:v>Marketing</c:v>
                </c:pt>
              </c:strCache>
            </c:strRef>
          </c:cat>
          <c:val>
            <c:numRef>
              <c:f>'[2]Summary and Graphics'!$AA$36:$AA$39</c:f>
              <c:numCache>
                <c:formatCode>General</c:formatCode>
                <c:ptCount val="4"/>
                <c:pt idx="0">
                  <c:v>2.8448865783692443</c:v>
                </c:pt>
                <c:pt idx="1">
                  <c:v>4.1949903427893398</c:v>
                </c:pt>
                <c:pt idx="2">
                  <c:v>2.5887286252782524</c:v>
                </c:pt>
                <c:pt idx="3">
                  <c:v>2.5040869803798174</c:v>
                </c:pt>
              </c:numCache>
            </c:numRef>
          </c:val>
          <c:extLst>
            <c:ext xmlns:c16="http://schemas.microsoft.com/office/drawing/2014/chart" uri="{C3380CC4-5D6E-409C-BE32-E72D297353CC}">
              <c16:uniqueId val="{00000001-4C73-4A73-9994-B42342A5A4ED}"/>
            </c:ext>
          </c:extLst>
        </c:ser>
        <c:dLbls>
          <c:dLblPos val="outEnd"/>
          <c:showLegendKey val="0"/>
          <c:showVal val="1"/>
          <c:showCatName val="0"/>
          <c:showSerName val="0"/>
          <c:showPercent val="0"/>
          <c:showBubbleSize val="0"/>
        </c:dLbls>
        <c:gapWidth val="182"/>
        <c:axId val="801751520"/>
        <c:axId val="801753440"/>
      </c:barChart>
      <c:catAx>
        <c:axId val="801751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753440"/>
        <c:crosses val="autoZero"/>
        <c:auto val="1"/>
        <c:lblAlgn val="ctr"/>
        <c:lblOffset val="100"/>
        <c:noMultiLvlLbl val="0"/>
      </c:catAx>
      <c:valAx>
        <c:axId val="801753440"/>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01751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8.xml"/><Relationship Id="rId2" Type="http://schemas.openxmlformats.org/officeDocument/2006/relationships/chart" Target="../charts/chart27.xml"/><Relationship Id="rId1" Type="http://schemas.openxmlformats.org/officeDocument/2006/relationships/chart" Target="../charts/chart26.xml"/><Relationship Id="rId6" Type="http://schemas.openxmlformats.org/officeDocument/2006/relationships/chart" Target="../charts/chart31.xml"/><Relationship Id="rId5" Type="http://schemas.openxmlformats.org/officeDocument/2006/relationships/chart" Target="../charts/chart30.xml"/><Relationship Id="rId4" Type="http://schemas.openxmlformats.org/officeDocument/2006/relationships/chart" Target="../charts/chart29.xml"/></Relationships>
</file>

<file path=xl/drawings/drawing1.xml><?xml version="1.0" encoding="utf-8"?>
<xdr:wsDr xmlns:xdr="http://schemas.openxmlformats.org/drawingml/2006/spreadsheetDrawing" xmlns:a="http://schemas.openxmlformats.org/drawingml/2006/main">
  <xdr:twoCellAnchor>
    <xdr:from>
      <xdr:col>2</xdr:col>
      <xdr:colOff>523875</xdr:colOff>
      <xdr:row>5</xdr:row>
      <xdr:rowOff>80963</xdr:rowOff>
    </xdr:from>
    <xdr:to>
      <xdr:col>12</xdr:col>
      <xdr:colOff>552450</xdr:colOff>
      <xdr:row>26</xdr:row>
      <xdr:rowOff>33338</xdr:rowOff>
    </xdr:to>
    <xdr:sp macro="" textlink="">
      <xdr:nvSpPr>
        <xdr:cNvPr id="2" name="TextBox 1">
          <a:extLst>
            <a:ext uri="{FF2B5EF4-FFF2-40B4-BE49-F238E27FC236}">
              <a16:creationId xmlns:a16="http://schemas.microsoft.com/office/drawing/2014/main" id="{8D6B27D8-DE28-4E0E-AD71-6CFEE60AD9E3}"/>
            </a:ext>
          </a:extLst>
        </xdr:cNvPr>
        <xdr:cNvSpPr txBox="1"/>
      </xdr:nvSpPr>
      <xdr:spPr>
        <a:xfrm>
          <a:off x="1819275" y="985838"/>
          <a:ext cx="6505575" cy="3752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Objective:</a:t>
          </a:r>
        </a:p>
        <a:p>
          <a:r>
            <a:rPr lang="en-US" sz="1100"/>
            <a:t>This model will develop long term projections</a:t>
          </a:r>
          <a:r>
            <a:rPr lang="en-US" sz="1100" baseline="0"/>
            <a:t> to support the development of the strategic plans andthe evaluation of alternative strategies, namely the company hotel reopening, the expansion of the company market in promising geographic markets, the development of green practices, and the marketing project consisting in revamping the company website with moderntechnologies and functionalities.</a:t>
          </a:r>
        </a:p>
        <a:p>
          <a:endParaRPr lang="en-US" sz="1100" baseline="0"/>
        </a:p>
        <a:p>
          <a:r>
            <a:rPr lang="en-US" sz="1100" b="1" u="sng" baseline="0"/>
            <a:t>Presentaion Summary</a:t>
          </a:r>
        </a:p>
        <a:p>
          <a:r>
            <a:rPr lang="en-US" sz="1100" baseline="0"/>
            <a:t>This model includes a presentation summary that will update with any changes posted to the other worksheets.</a:t>
          </a:r>
        </a:p>
        <a:p>
          <a:endParaRPr lang="en-US" sz="1100" baseline="0"/>
        </a:p>
        <a:p>
          <a:r>
            <a:rPr lang="en-US" sz="1100" b="1" u="sng" baseline="0"/>
            <a:t>Critical Assumption:</a:t>
          </a:r>
        </a:p>
        <a:p>
          <a:endParaRPr lang="en-US" sz="1100" b="0" u="none" baseline="0"/>
        </a:p>
        <a:p>
          <a:r>
            <a:rPr lang="en-US" sz="1100" b="0" u="none" baseline="0"/>
            <a:t>The hotel revenue and result depend on the company revenue and results, with constant annual growth estimated by the groth in revenue and result of the company from 2009 to 2010 during the first opening of the hotel.</a:t>
          </a:r>
        </a:p>
        <a:p>
          <a:endParaRPr lang="en-US" sz="1100" b="0" u="none" baseline="0"/>
        </a:p>
        <a:p>
          <a:endParaRPr lang="en-US" sz="1100" b="0" u="none"/>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65378</xdr:colOff>
      <xdr:row>21</xdr:row>
      <xdr:rowOff>18686</xdr:rowOff>
    </xdr:from>
    <xdr:to>
      <xdr:col>40</xdr:col>
      <xdr:colOff>541617</xdr:colOff>
      <xdr:row>34</xdr:row>
      <xdr:rowOff>46691</xdr:rowOff>
    </xdr:to>
    <xdr:graphicFrame macro="">
      <xdr:nvGraphicFramePr>
        <xdr:cNvPr id="2" name="Chart 1">
          <a:extLst>
            <a:ext uri="{FF2B5EF4-FFF2-40B4-BE49-F238E27FC236}">
              <a16:creationId xmlns:a16="http://schemas.microsoft.com/office/drawing/2014/main" id="{85C50DB0-81E6-2A65-27C2-DB422923FF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40</xdr:col>
      <xdr:colOff>644336</xdr:colOff>
      <xdr:row>4</xdr:row>
      <xdr:rowOff>0</xdr:rowOff>
    </xdr:from>
    <xdr:to>
      <xdr:col>53</xdr:col>
      <xdr:colOff>616324</xdr:colOff>
      <xdr:row>20</xdr:row>
      <xdr:rowOff>130735</xdr:rowOff>
    </xdr:to>
    <xdr:graphicFrame macro="">
      <xdr:nvGraphicFramePr>
        <xdr:cNvPr id="4" name="Chart 3">
          <a:extLst>
            <a:ext uri="{FF2B5EF4-FFF2-40B4-BE49-F238E27FC236}">
              <a16:creationId xmlns:a16="http://schemas.microsoft.com/office/drawing/2014/main" id="{DD51B600-72BA-47FE-A92D-E309AD2C73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41</xdr:col>
      <xdr:colOff>2</xdr:colOff>
      <xdr:row>21</xdr:row>
      <xdr:rowOff>56028</xdr:rowOff>
    </xdr:from>
    <xdr:to>
      <xdr:col>47</xdr:col>
      <xdr:colOff>345514</xdr:colOff>
      <xdr:row>33</xdr:row>
      <xdr:rowOff>168088</xdr:rowOff>
    </xdr:to>
    <xdr:graphicFrame macro="">
      <xdr:nvGraphicFramePr>
        <xdr:cNvPr id="6" name="Chart 5">
          <a:extLst>
            <a:ext uri="{FF2B5EF4-FFF2-40B4-BE49-F238E27FC236}">
              <a16:creationId xmlns:a16="http://schemas.microsoft.com/office/drawing/2014/main" id="{A1995750-A9A0-4CBF-AF24-C3F5BA9C0F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48556</xdr:colOff>
      <xdr:row>4</xdr:row>
      <xdr:rowOff>61816</xdr:rowOff>
    </xdr:from>
    <xdr:to>
      <xdr:col>40</xdr:col>
      <xdr:colOff>541616</xdr:colOff>
      <xdr:row>20</xdr:row>
      <xdr:rowOff>84043</xdr:rowOff>
    </xdr:to>
    <xdr:graphicFrame macro="">
      <xdr:nvGraphicFramePr>
        <xdr:cNvPr id="7" name="Chart 6">
          <a:extLst>
            <a:ext uri="{FF2B5EF4-FFF2-40B4-BE49-F238E27FC236}">
              <a16:creationId xmlns:a16="http://schemas.microsoft.com/office/drawing/2014/main" id="{66C92CC7-5BD3-11A7-15C0-7358EEBF93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47</xdr:col>
      <xdr:colOff>457573</xdr:colOff>
      <xdr:row>21</xdr:row>
      <xdr:rowOff>56029</xdr:rowOff>
    </xdr:from>
    <xdr:to>
      <xdr:col>54</xdr:col>
      <xdr:colOff>46691</xdr:colOff>
      <xdr:row>33</xdr:row>
      <xdr:rowOff>158749</xdr:rowOff>
    </xdr:to>
    <xdr:graphicFrame macro="">
      <xdr:nvGraphicFramePr>
        <xdr:cNvPr id="9" name="Chart 8">
          <a:extLst>
            <a:ext uri="{FF2B5EF4-FFF2-40B4-BE49-F238E27FC236}">
              <a16:creationId xmlns:a16="http://schemas.microsoft.com/office/drawing/2014/main" id="{42CD8519-465A-4283-BD27-9AF6703A9D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644336</xdr:colOff>
      <xdr:row>35</xdr:row>
      <xdr:rowOff>-1</xdr:rowOff>
    </xdr:from>
    <xdr:to>
      <xdr:col>40</xdr:col>
      <xdr:colOff>522940</xdr:colOff>
      <xdr:row>53</xdr:row>
      <xdr:rowOff>56029</xdr:rowOff>
    </xdr:to>
    <xdr:graphicFrame macro="">
      <xdr:nvGraphicFramePr>
        <xdr:cNvPr id="11" name="Chart 10">
          <a:extLst>
            <a:ext uri="{FF2B5EF4-FFF2-40B4-BE49-F238E27FC236}">
              <a16:creationId xmlns:a16="http://schemas.microsoft.com/office/drawing/2014/main" id="{596AFFD7-5E19-4638-B5AE-A89CABEF3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9336</xdr:colOff>
      <xdr:row>53</xdr:row>
      <xdr:rowOff>158750</xdr:rowOff>
    </xdr:from>
    <xdr:to>
      <xdr:col>33</xdr:col>
      <xdr:colOff>392204</xdr:colOff>
      <xdr:row>74</xdr:row>
      <xdr:rowOff>112060</xdr:rowOff>
    </xdr:to>
    <xdr:graphicFrame macro="">
      <xdr:nvGraphicFramePr>
        <xdr:cNvPr id="14" name="Chart 13">
          <a:extLst>
            <a:ext uri="{FF2B5EF4-FFF2-40B4-BE49-F238E27FC236}">
              <a16:creationId xmlns:a16="http://schemas.microsoft.com/office/drawing/2014/main" id="{9AECFFF5-C7DF-4178-962C-F0C8D43D0B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0</xdr:colOff>
      <xdr:row>54</xdr:row>
      <xdr:rowOff>0</xdr:rowOff>
    </xdr:from>
    <xdr:to>
      <xdr:col>40</xdr:col>
      <xdr:colOff>522941</xdr:colOff>
      <xdr:row>74</xdr:row>
      <xdr:rowOff>93382</xdr:rowOff>
    </xdr:to>
    <xdr:graphicFrame macro="">
      <xdr:nvGraphicFramePr>
        <xdr:cNvPr id="16" name="Chart 15">
          <a:extLst>
            <a:ext uri="{FF2B5EF4-FFF2-40B4-BE49-F238E27FC236}">
              <a16:creationId xmlns:a16="http://schemas.microsoft.com/office/drawing/2014/main" id="{49B20DF4-0D19-4D7C-84C2-8519EC5DF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41</xdr:col>
      <xdr:colOff>18674</xdr:colOff>
      <xdr:row>35</xdr:row>
      <xdr:rowOff>93381</xdr:rowOff>
    </xdr:from>
    <xdr:to>
      <xdr:col>54</xdr:col>
      <xdr:colOff>37353</xdr:colOff>
      <xdr:row>74</xdr:row>
      <xdr:rowOff>74705</xdr:rowOff>
    </xdr:to>
    <xdr:graphicFrame macro="">
      <xdr:nvGraphicFramePr>
        <xdr:cNvPr id="5" name="Chart 4">
          <a:extLst>
            <a:ext uri="{FF2B5EF4-FFF2-40B4-BE49-F238E27FC236}">
              <a16:creationId xmlns:a16="http://schemas.microsoft.com/office/drawing/2014/main" id="{088506F3-22B7-40C6-B4F2-67CC038CE6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25</xdr:col>
      <xdr:colOff>650874</xdr:colOff>
      <xdr:row>7</xdr:row>
      <xdr:rowOff>0</xdr:rowOff>
    </xdr:from>
    <xdr:to>
      <xdr:col>35</xdr:col>
      <xdr:colOff>500061</xdr:colOff>
      <xdr:row>25</xdr:row>
      <xdr:rowOff>15875</xdr:rowOff>
    </xdr:to>
    <xdr:graphicFrame macro="">
      <xdr:nvGraphicFramePr>
        <xdr:cNvPr id="3" name="Chart 2">
          <a:extLst>
            <a:ext uri="{FF2B5EF4-FFF2-40B4-BE49-F238E27FC236}">
              <a16:creationId xmlns:a16="http://schemas.microsoft.com/office/drawing/2014/main" id="{ED844E37-8D3F-400E-874D-BF7510844E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650874</xdr:colOff>
      <xdr:row>7</xdr:row>
      <xdr:rowOff>0</xdr:rowOff>
    </xdr:from>
    <xdr:to>
      <xdr:col>45</xdr:col>
      <xdr:colOff>563561</xdr:colOff>
      <xdr:row>25</xdr:row>
      <xdr:rowOff>0</xdr:rowOff>
    </xdr:to>
    <xdr:graphicFrame macro="">
      <xdr:nvGraphicFramePr>
        <xdr:cNvPr id="4" name="Chart 3">
          <a:extLst>
            <a:ext uri="{FF2B5EF4-FFF2-40B4-BE49-F238E27FC236}">
              <a16:creationId xmlns:a16="http://schemas.microsoft.com/office/drawing/2014/main" id="{050736C6-84DB-48D9-BAB8-C78A0F820B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627071</xdr:colOff>
      <xdr:row>25</xdr:row>
      <xdr:rowOff>134947</xdr:rowOff>
    </xdr:from>
    <xdr:to>
      <xdr:col>35</xdr:col>
      <xdr:colOff>523874</xdr:colOff>
      <xdr:row>42</xdr:row>
      <xdr:rowOff>55563</xdr:rowOff>
    </xdr:to>
    <xdr:graphicFrame macro="">
      <xdr:nvGraphicFramePr>
        <xdr:cNvPr id="5" name="Chart 4">
          <a:extLst>
            <a:ext uri="{FF2B5EF4-FFF2-40B4-BE49-F238E27FC236}">
              <a16:creationId xmlns:a16="http://schemas.microsoft.com/office/drawing/2014/main" id="{26BCFBCA-7D52-7E34-504C-AA27DDD6B8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0</xdr:colOff>
      <xdr:row>26</xdr:row>
      <xdr:rowOff>0</xdr:rowOff>
    </xdr:from>
    <xdr:to>
      <xdr:col>40</xdr:col>
      <xdr:colOff>515937</xdr:colOff>
      <xdr:row>42</xdr:row>
      <xdr:rowOff>23813</xdr:rowOff>
    </xdr:to>
    <xdr:graphicFrame macro="">
      <xdr:nvGraphicFramePr>
        <xdr:cNvPr id="7" name="Chart 6">
          <a:extLst>
            <a:ext uri="{FF2B5EF4-FFF2-40B4-BE49-F238E27FC236}">
              <a16:creationId xmlns:a16="http://schemas.microsoft.com/office/drawing/2014/main" id="{1D79CA54-AC55-4152-848C-76DA72CF6D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40</xdr:col>
      <xdr:colOff>627063</xdr:colOff>
      <xdr:row>25</xdr:row>
      <xdr:rowOff>166686</xdr:rowOff>
    </xdr:from>
    <xdr:to>
      <xdr:col>45</xdr:col>
      <xdr:colOff>571500</xdr:colOff>
      <xdr:row>42</xdr:row>
      <xdr:rowOff>39688</xdr:rowOff>
    </xdr:to>
    <xdr:graphicFrame macro="">
      <xdr:nvGraphicFramePr>
        <xdr:cNvPr id="9" name="Chart 8">
          <a:extLst>
            <a:ext uri="{FF2B5EF4-FFF2-40B4-BE49-F238E27FC236}">
              <a16:creationId xmlns:a16="http://schemas.microsoft.com/office/drawing/2014/main" id="{3D3A8899-5357-4072-83B4-7E6A8322D5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646111</xdr:colOff>
      <xdr:row>42</xdr:row>
      <xdr:rowOff>182561</xdr:rowOff>
    </xdr:from>
    <xdr:to>
      <xdr:col>33</xdr:col>
      <xdr:colOff>127000</xdr:colOff>
      <xdr:row>71</xdr:row>
      <xdr:rowOff>142875</xdr:rowOff>
    </xdr:to>
    <xdr:graphicFrame macro="">
      <xdr:nvGraphicFramePr>
        <xdr:cNvPr id="2" name="Chart 1">
          <a:extLst>
            <a:ext uri="{FF2B5EF4-FFF2-40B4-BE49-F238E27FC236}">
              <a16:creationId xmlns:a16="http://schemas.microsoft.com/office/drawing/2014/main" id="{C63C6418-0614-4DC3-97E5-40A0E6C821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33</xdr:col>
      <xdr:colOff>222249</xdr:colOff>
      <xdr:row>42</xdr:row>
      <xdr:rowOff>174625</xdr:rowOff>
    </xdr:from>
    <xdr:to>
      <xdr:col>45</xdr:col>
      <xdr:colOff>531812</xdr:colOff>
      <xdr:row>57</xdr:row>
      <xdr:rowOff>158749</xdr:rowOff>
    </xdr:to>
    <xdr:graphicFrame macro="">
      <xdr:nvGraphicFramePr>
        <xdr:cNvPr id="8" name="Chart 7">
          <a:extLst>
            <a:ext uri="{FF2B5EF4-FFF2-40B4-BE49-F238E27FC236}">
              <a16:creationId xmlns:a16="http://schemas.microsoft.com/office/drawing/2014/main" id="{2D08AF64-F471-4C60-8A1F-DACBB4F855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33</xdr:col>
      <xdr:colOff>254000</xdr:colOff>
      <xdr:row>58</xdr:row>
      <xdr:rowOff>55562</xdr:rowOff>
    </xdr:from>
    <xdr:to>
      <xdr:col>38</xdr:col>
      <xdr:colOff>71437</xdr:colOff>
      <xdr:row>72</xdr:row>
      <xdr:rowOff>7937</xdr:rowOff>
    </xdr:to>
    <xdr:graphicFrame macro="">
      <xdr:nvGraphicFramePr>
        <xdr:cNvPr id="12" name="Chart 11">
          <a:extLst>
            <a:ext uri="{FF2B5EF4-FFF2-40B4-BE49-F238E27FC236}">
              <a16:creationId xmlns:a16="http://schemas.microsoft.com/office/drawing/2014/main" id="{A80D6761-4BF0-4C4A-AEEA-DD06986C3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38</xdr:col>
      <xdr:colOff>182562</xdr:colOff>
      <xdr:row>58</xdr:row>
      <xdr:rowOff>31749</xdr:rowOff>
    </xdr:from>
    <xdr:to>
      <xdr:col>45</xdr:col>
      <xdr:colOff>523875</xdr:colOff>
      <xdr:row>71</xdr:row>
      <xdr:rowOff>150813</xdr:rowOff>
    </xdr:to>
    <xdr:graphicFrame macro="">
      <xdr:nvGraphicFramePr>
        <xdr:cNvPr id="14" name="Chart 13">
          <a:extLst>
            <a:ext uri="{FF2B5EF4-FFF2-40B4-BE49-F238E27FC236}">
              <a16:creationId xmlns:a16="http://schemas.microsoft.com/office/drawing/2014/main" id="{7156A96C-662A-4ECA-9082-2CDEF3D9A6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71438</xdr:colOff>
      <xdr:row>0</xdr:row>
      <xdr:rowOff>0</xdr:rowOff>
    </xdr:from>
    <xdr:to>
      <xdr:col>8</xdr:col>
      <xdr:colOff>571501</xdr:colOff>
      <xdr:row>14</xdr:row>
      <xdr:rowOff>166688</xdr:rowOff>
    </xdr:to>
    <xdr:sp macro="" textlink="">
      <xdr:nvSpPr>
        <xdr:cNvPr id="2" name="TextBox 1">
          <a:extLst>
            <a:ext uri="{FF2B5EF4-FFF2-40B4-BE49-F238E27FC236}">
              <a16:creationId xmlns:a16="http://schemas.microsoft.com/office/drawing/2014/main" id="{FBC709BD-DD0B-4EDB-A584-72FB7764AC9C}"/>
            </a:ext>
          </a:extLst>
        </xdr:cNvPr>
        <xdr:cNvSpPr txBox="1"/>
      </xdr:nvSpPr>
      <xdr:spPr>
        <a:xfrm>
          <a:off x="722313" y="0"/>
          <a:ext cx="5056188" cy="2722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Critical Assumptions</a:t>
          </a:r>
        </a:p>
        <a:p>
          <a:endParaRPr lang="en-US" sz="1100"/>
        </a:p>
        <a:p>
          <a:r>
            <a:rPr lang="en-US" sz="1400"/>
            <a:t>Significant growth over horizon of plan, primarily due to introduction    Hotel</a:t>
          </a:r>
          <a:r>
            <a:rPr lang="en-US" sz="1400" baseline="0"/>
            <a:t> Opening and Expansion Strategies</a:t>
          </a:r>
          <a:r>
            <a:rPr lang="en-US" sz="1400"/>
            <a:t>.</a:t>
          </a:r>
        </a:p>
        <a:p>
          <a:endParaRPr lang="en-US" sz="1400"/>
        </a:p>
        <a:p>
          <a:r>
            <a:rPr lang="en-US" sz="1400"/>
            <a:t>Gross margins increase from 71.3% to 83.8% due to higher margins in</a:t>
          </a:r>
          <a:r>
            <a:rPr lang="en-US" sz="1400" baseline="0"/>
            <a:t> expansion areas</a:t>
          </a:r>
          <a:r>
            <a:rPr lang="en-US" sz="1400"/>
            <a:t>.</a:t>
          </a:r>
        </a:p>
        <a:p>
          <a:endParaRPr lang="en-US" sz="1400"/>
        </a:p>
        <a:p>
          <a:r>
            <a:rPr lang="en-US" sz="1400"/>
            <a:t>Strong balance sheet and cash flow maintained over plan horizon</a:t>
          </a:r>
        </a:p>
        <a:p>
          <a:endParaRPr lang="en-US" sz="1400"/>
        </a:p>
        <a:p>
          <a:endParaRPr lang="en-US" sz="1400"/>
        </a:p>
        <a:p>
          <a:endParaRPr lang="en-US" sz="1400"/>
        </a:p>
      </xdr:txBody>
    </xdr:sp>
    <xdr:clientData/>
  </xdr:twoCellAnchor>
  <xdr:twoCellAnchor>
    <xdr:from>
      <xdr:col>9</xdr:col>
      <xdr:colOff>87313</xdr:colOff>
      <xdr:row>0</xdr:row>
      <xdr:rowOff>0</xdr:rowOff>
    </xdr:from>
    <xdr:to>
      <xdr:col>15</xdr:col>
      <xdr:colOff>754063</xdr:colOff>
      <xdr:row>15</xdr:row>
      <xdr:rowOff>4762</xdr:rowOff>
    </xdr:to>
    <xdr:graphicFrame macro="">
      <xdr:nvGraphicFramePr>
        <xdr:cNvPr id="4" name="Chart 3">
          <a:extLst>
            <a:ext uri="{FF2B5EF4-FFF2-40B4-BE49-F238E27FC236}">
              <a16:creationId xmlns:a16="http://schemas.microsoft.com/office/drawing/2014/main" id="{837D12C8-5373-43F3-A66C-5625233CD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71438</xdr:colOff>
      <xdr:row>15</xdr:row>
      <xdr:rowOff>47625</xdr:rowOff>
    </xdr:from>
    <xdr:to>
      <xdr:col>8</xdr:col>
      <xdr:colOff>587375</xdr:colOff>
      <xdr:row>31</xdr:row>
      <xdr:rowOff>39688</xdr:rowOff>
    </xdr:to>
    <xdr:graphicFrame macro="">
      <xdr:nvGraphicFramePr>
        <xdr:cNvPr id="6" name="Chart 5">
          <a:extLst>
            <a:ext uri="{FF2B5EF4-FFF2-40B4-BE49-F238E27FC236}">
              <a16:creationId xmlns:a16="http://schemas.microsoft.com/office/drawing/2014/main" id="{97718487-A592-410B-8CFA-23DAF7F658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67468</xdr:colOff>
      <xdr:row>15</xdr:row>
      <xdr:rowOff>65087</xdr:rowOff>
    </xdr:from>
    <xdr:to>
      <xdr:col>15</xdr:col>
      <xdr:colOff>734218</xdr:colOff>
      <xdr:row>31</xdr:row>
      <xdr:rowOff>69850</xdr:rowOff>
    </xdr:to>
    <xdr:graphicFrame macro="">
      <xdr:nvGraphicFramePr>
        <xdr:cNvPr id="7" name="Chart 6">
          <a:extLst>
            <a:ext uri="{FF2B5EF4-FFF2-40B4-BE49-F238E27FC236}">
              <a16:creationId xmlns:a16="http://schemas.microsoft.com/office/drawing/2014/main" id="{885D294F-7CFF-99AD-A1EB-3D318DFA13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71436</xdr:colOff>
      <xdr:row>31</xdr:row>
      <xdr:rowOff>134937</xdr:rowOff>
    </xdr:from>
    <xdr:to>
      <xdr:col>8</xdr:col>
      <xdr:colOff>595312</xdr:colOff>
      <xdr:row>47</xdr:row>
      <xdr:rowOff>47625</xdr:rowOff>
    </xdr:to>
    <xdr:graphicFrame macro="">
      <xdr:nvGraphicFramePr>
        <xdr:cNvPr id="11" name="Chart 10">
          <a:extLst>
            <a:ext uri="{FF2B5EF4-FFF2-40B4-BE49-F238E27FC236}">
              <a16:creationId xmlns:a16="http://schemas.microsoft.com/office/drawing/2014/main" id="{3359669B-7A9F-4844-AD19-C68CFEB6D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71436</xdr:colOff>
      <xdr:row>31</xdr:row>
      <xdr:rowOff>158749</xdr:rowOff>
    </xdr:from>
    <xdr:to>
      <xdr:col>15</xdr:col>
      <xdr:colOff>754063</xdr:colOff>
      <xdr:row>47</xdr:row>
      <xdr:rowOff>47624</xdr:rowOff>
    </xdr:to>
    <xdr:graphicFrame macro="">
      <xdr:nvGraphicFramePr>
        <xdr:cNvPr id="13" name="Chart 12">
          <a:extLst>
            <a:ext uri="{FF2B5EF4-FFF2-40B4-BE49-F238E27FC236}">
              <a16:creationId xmlns:a16="http://schemas.microsoft.com/office/drawing/2014/main" id="{6A16CB0A-77AB-40DC-B180-FEA3A0CB3D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39688</xdr:colOff>
      <xdr:row>0</xdr:row>
      <xdr:rowOff>31751</xdr:rowOff>
    </xdr:from>
    <xdr:to>
      <xdr:col>19</xdr:col>
      <xdr:colOff>849313</xdr:colOff>
      <xdr:row>15</xdr:row>
      <xdr:rowOff>36513</xdr:rowOff>
    </xdr:to>
    <xdr:graphicFrame macro="">
      <xdr:nvGraphicFramePr>
        <xdr:cNvPr id="15" name="Chart 14">
          <a:extLst>
            <a:ext uri="{FF2B5EF4-FFF2-40B4-BE49-F238E27FC236}">
              <a16:creationId xmlns:a16="http://schemas.microsoft.com/office/drawing/2014/main" id="{51D5CBCD-CE5D-498C-B98F-60D6E495DC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39688</xdr:colOff>
      <xdr:row>15</xdr:row>
      <xdr:rowOff>108742</xdr:rowOff>
    </xdr:from>
    <xdr:to>
      <xdr:col>19</xdr:col>
      <xdr:colOff>857250</xdr:colOff>
      <xdr:row>31</xdr:row>
      <xdr:rowOff>87312</xdr:rowOff>
    </xdr:to>
    <xdr:graphicFrame macro="">
      <xdr:nvGraphicFramePr>
        <xdr:cNvPr id="16" name="Chart 15">
          <a:extLst>
            <a:ext uri="{FF2B5EF4-FFF2-40B4-BE49-F238E27FC236}">
              <a16:creationId xmlns:a16="http://schemas.microsoft.com/office/drawing/2014/main" id="{DD6691C2-133A-06E5-5FEA-4602053DB7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87315</xdr:colOff>
      <xdr:row>14</xdr:row>
      <xdr:rowOff>530</xdr:rowOff>
    </xdr:from>
    <xdr:to>
      <xdr:col>7</xdr:col>
      <xdr:colOff>349251</xdr:colOff>
      <xdr:row>27</xdr:row>
      <xdr:rowOff>132292</xdr:rowOff>
    </xdr:to>
    <xdr:graphicFrame macro="">
      <xdr:nvGraphicFramePr>
        <xdr:cNvPr id="2" name="Chart 1">
          <a:extLst>
            <a:ext uri="{FF2B5EF4-FFF2-40B4-BE49-F238E27FC236}">
              <a16:creationId xmlns:a16="http://schemas.microsoft.com/office/drawing/2014/main" id="{502736B5-B25F-44BC-83AC-23FDDF8F82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388409</xdr:colOff>
      <xdr:row>13</xdr:row>
      <xdr:rowOff>156895</xdr:rowOff>
    </xdr:from>
    <xdr:to>
      <xdr:col>14</xdr:col>
      <xdr:colOff>317500</xdr:colOff>
      <xdr:row>27</xdr:row>
      <xdr:rowOff>116417</xdr:rowOff>
    </xdr:to>
    <xdr:graphicFrame macro="">
      <xdr:nvGraphicFramePr>
        <xdr:cNvPr id="3" name="Chart 2">
          <a:extLst>
            <a:ext uri="{FF2B5EF4-FFF2-40B4-BE49-F238E27FC236}">
              <a16:creationId xmlns:a16="http://schemas.microsoft.com/office/drawing/2014/main" id="{3A946814-B585-45E4-8801-A6F9330218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95250</xdr:colOff>
      <xdr:row>1</xdr:row>
      <xdr:rowOff>42863</xdr:rowOff>
    </xdr:from>
    <xdr:to>
      <xdr:col>7</xdr:col>
      <xdr:colOff>371475</xdr:colOff>
      <xdr:row>13</xdr:row>
      <xdr:rowOff>109538</xdr:rowOff>
    </xdr:to>
    <xdr:graphicFrame macro="">
      <xdr:nvGraphicFramePr>
        <xdr:cNvPr id="4" name="Chart 3">
          <a:extLst>
            <a:ext uri="{FF2B5EF4-FFF2-40B4-BE49-F238E27FC236}">
              <a16:creationId xmlns:a16="http://schemas.microsoft.com/office/drawing/2014/main" id="{0733ECCC-0D89-44FC-A579-DF279DD357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409576</xdr:colOff>
      <xdr:row>1</xdr:row>
      <xdr:rowOff>24604</xdr:rowOff>
    </xdr:from>
    <xdr:to>
      <xdr:col>14</xdr:col>
      <xdr:colOff>312208</xdr:colOff>
      <xdr:row>13</xdr:row>
      <xdr:rowOff>95250</xdr:rowOff>
    </xdr:to>
    <xdr:graphicFrame macro="">
      <xdr:nvGraphicFramePr>
        <xdr:cNvPr id="5" name="Chart 4">
          <a:extLst>
            <a:ext uri="{FF2B5EF4-FFF2-40B4-BE49-F238E27FC236}">
              <a16:creationId xmlns:a16="http://schemas.microsoft.com/office/drawing/2014/main" id="{917D9E1B-CB30-4050-ACAD-893D4F4B5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79376</xdr:colOff>
      <xdr:row>28</xdr:row>
      <xdr:rowOff>15874</xdr:rowOff>
    </xdr:from>
    <xdr:to>
      <xdr:col>7</xdr:col>
      <xdr:colOff>333375</xdr:colOff>
      <xdr:row>42</xdr:row>
      <xdr:rowOff>158750</xdr:rowOff>
    </xdr:to>
    <xdr:graphicFrame macro="">
      <xdr:nvGraphicFramePr>
        <xdr:cNvPr id="6" name="Chart 5">
          <a:extLst>
            <a:ext uri="{FF2B5EF4-FFF2-40B4-BE49-F238E27FC236}">
              <a16:creationId xmlns:a16="http://schemas.microsoft.com/office/drawing/2014/main" id="{AA3A737A-71CE-4C5E-843F-90C86D6B28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396875</xdr:colOff>
      <xdr:row>28</xdr:row>
      <xdr:rowOff>10846</xdr:rowOff>
    </xdr:from>
    <xdr:to>
      <xdr:col>14</xdr:col>
      <xdr:colOff>333375</xdr:colOff>
      <xdr:row>42</xdr:row>
      <xdr:rowOff>127001</xdr:rowOff>
    </xdr:to>
    <xdr:graphicFrame macro="">
      <xdr:nvGraphicFramePr>
        <xdr:cNvPr id="7" name="Chart 6">
          <a:extLst>
            <a:ext uri="{FF2B5EF4-FFF2-40B4-BE49-F238E27FC236}">
              <a16:creationId xmlns:a16="http://schemas.microsoft.com/office/drawing/2014/main" id="{FA11CBB8-E99A-4DEE-AF33-0DAC18F92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origin\Documents\Balima%20Project\Long%20Term%20Projections%20-%20Pessimistic.xlsx" TargetMode="External"/><Relationship Id="rId1" Type="http://schemas.openxmlformats.org/officeDocument/2006/relationships/externalLinkPath" Target="Long%20Term%20Projections%20-%20Pessimistic.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origin\Documents\Balima%20Project\Long%20Term%20Projections%20-%20Optimistic.xlsx" TargetMode="External"/><Relationship Id="rId1" Type="http://schemas.openxmlformats.org/officeDocument/2006/relationships/externalLinkPath" Target="Long%20Term%20Projections%20-%20Optimisti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ssumptions"/>
      <sheetName val="Revenue and Margins"/>
      <sheetName val="Expenses"/>
      <sheetName val="Capital Requirements"/>
      <sheetName val="CAP FS"/>
      <sheetName val="Strategies Evaluation"/>
      <sheetName val="Summary and Graphics"/>
      <sheetName val="Sensitivity Analysis"/>
    </sheetNames>
    <sheetDataSet>
      <sheetData sheetId="0"/>
      <sheetData sheetId="1"/>
      <sheetData sheetId="2"/>
      <sheetData sheetId="3"/>
      <sheetData sheetId="4"/>
      <sheetData sheetId="5"/>
      <sheetData sheetId="6">
        <row r="35">
          <cell r="X35" t="str">
            <v>NPV</v>
          </cell>
          <cell r="Y35" t="str">
            <v>IRR</v>
          </cell>
          <cell r="Z35" t="str">
            <v>Profitability Index</v>
          </cell>
          <cell r="AA35" t="str">
            <v>Payback Period</v>
          </cell>
        </row>
        <row r="36">
          <cell r="W36" t="str">
            <v>Hotel Reopening</v>
          </cell>
          <cell r="X36">
            <v>3855403.8615799015</v>
          </cell>
          <cell r="Y36">
            <v>0.35775698978773285</v>
          </cell>
          <cell r="Z36">
            <v>0.59948900539675454</v>
          </cell>
          <cell r="AA36">
            <v>2.8587650616050841</v>
          </cell>
        </row>
        <row r="37">
          <cell r="W37" t="str">
            <v>Expansion</v>
          </cell>
          <cell r="X37">
            <v>205121603.75199133</v>
          </cell>
          <cell r="Y37">
            <v>0.69814922553143499</v>
          </cell>
          <cell r="Z37">
            <v>2.1527314744430979</v>
          </cell>
          <cell r="AA37">
            <v>4.1385292777162466</v>
          </cell>
        </row>
        <row r="38">
          <cell r="W38" t="str">
            <v>Green Practices</v>
          </cell>
          <cell r="X38">
            <v>13460691.762371473</v>
          </cell>
          <cell r="Y38">
            <v>0.67623663848694049</v>
          </cell>
          <cell r="Z38">
            <v>2.470758399847921</v>
          </cell>
          <cell r="AA38">
            <v>2.5718542363759886</v>
          </cell>
        </row>
        <row r="39">
          <cell r="W39" t="str">
            <v>Marketing</v>
          </cell>
          <cell r="X39">
            <v>87108.254639520237</v>
          </cell>
          <cell r="Y39">
            <v>7.5776546303552017E-2</v>
          </cell>
          <cell r="Z39">
            <v>0.43554127319760116</v>
          </cell>
          <cell r="AA39">
            <v>2.5253950780584185</v>
          </cell>
        </row>
      </sheetData>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ssumptions"/>
      <sheetName val="Revenue and Margins"/>
      <sheetName val="Expenses"/>
      <sheetName val="Capital Requirements"/>
      <sheetName val="CAP FS"/>
      <sheetName val="Strategies Evaluation"/>
      <sheetName val="Summary and Graphics"/>
      <sheetName val="Sensitivity Analysis"/>
    </sheetNames>
    <sheetDataSet>
      <sheetData sheetId="0"/>
      <sheetData sheetId="1"/>
      <sheetData sheetId="2"/>
      <sheetData sheetId="3"/>
      <sheetData sheetId="4"/>
      <sheetData sheetId="5"/>
      <sheetData sheetId="6">
        <row r="35">
          <cell r="X35" t="str">
            <v>NPV</v>
          </cell>
          <cell r="Y35" t="str">
            <v>IRR</v>
          </cell>
          <cell r="Z35" t="str">
            <v>Profitability Index</v>
          </cell>
          <cell r="AA35" t="str">
            <v>Payback Period</v>
          </cell>
        </row>
        <row r="36">
          <cell r="W36" t="str">
            <v>Hotel Reopening</v>
          </cell>
          <cell r="X36">
            <v>5470604.3290554825</v>
          </cell>
          <cell r="Y36">
            <v>0.43369239059818954</v>
          </cell>
          <cell r="Z36">
            <v>0.84703988779352235</v>
          </cell>
          <cell r="AA36">
            <v>2.8448865783692443</v>
          </cell>
        </row>
        <row r="37">
          <cell r="W37" t="str">
            <v>Expansion</v>
          </cell>
          <cell r="X37">
            <v>164641847.93638948</v>
          </cell>
          <cell r="Y37">
            <v>0.60608225577778718</v>
          </cell>
          <cell r="Z37">
            <v>1.727900336093678</v>
          </cell>
          <cell r="AA37">
            <v>4.1949903427893398</v>
          </cell>
        </row>
        <row r="38">
          <cell r="W38" t="str">
            <v>Green Practices</v>
          </cell>
          <cell r="X38">
            <v>13630878.444786102</v>
          </cell>
          <cell r="Y38">
            <v>0.67294644066913145</v>
          </cell>
          <cell r="Z38">
            <v>2.5019967776773315</v>
          </cell>
          <cell r="AA38">
            <v>2.5887286252782524</v>
          </cell>
        </row>
        <row r="39">
          <cell r="W39" t="str">
            <v>Marketing</v>
          </cell>
          <cell r="X39">
            <v>102662.73000070847</v>
          </cell>
          <cell r="Y39">
            <v>0.11772163824240955</v>
          </cell>
          <cell r="Z39">
            <v>0.51331365000354234</v>
          </cell>
          <cell r="AA39">
            <v>2.5040869803798174</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0607B-8EF9-410F-8CE2-8C48ED7172E4}">
  <dimension ref="A2:C30"/>
  <sheetViews>
    <sheetView workbookViewId="0">
      <selection activeCell="O22" sqref="O22"/>
    </sheetView>
  </sheetViews>
  <sheetFormatPr defaultRowHeight="14.25" x14ac:dyDescent="0.45"/>
  <sheetData>
    <row r="2" spans="1:3" x14ac:dyDescent="0.45">
      <c r="A2" t="s">
        <v>272</v>
      </c>
      <c r="C2" t="s">
        <v>271</v>
      </c>
    </row>
    <row r="29" spans="1:3" x14ac:dyDescent="0.45">
      <c r="A29" t="s">
        <v>273</v>
      </c>
      <c r="C29" s="267">
        <v>2024</v>
      </c>
    </row>
    <row r="30" spans="1:3" x14ac:dyDescent="0.45">
      <c r="A30" t="s">
        <v>274</v>
      </c>
      <c r="C30" s="268" t="s">
        <v>275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73359-9B19-4EDD-B45E-781458ED725C}">
  <dimension ref="A1:Y92"/>
  <sheetViews>
    <sheetView zoomScale="51" zoomScaleNormal="50" workbookViewId="0">
      <pane xSplit="2" ySplit="4" topLeftCell="C7" activePane="bottomRight" state="frozen"/>
      <selection activeCell="A4" sqref="A4"/>
      <selection pane="topRight" activeCell="C4" sqref="C4"/>
      <selection pane="bottomLeft" activeCell="A5" sqref="A5"/>
      <selection pane="bottomRight" activeCell="R21" sqref="R21"/>
    </sheetView>
  </sheetViews>
  <sheetFormatPr defaultRowHeight="14.25" x14ac:dyDescent="0.45"/>
  <cols>
    <col min="1" max="1" width="43.86328125" customWidth="1"/>
    <col min="2" max="2" width="16.06640625" hidden="1" customWidth="1"/>
    <col min="3" max="3" width="17.19921875" hidden="1" customWidth="1"/>
    <col min="4" max="17" width="16.19921875" hidden="1" customWidth="1"/>
    <col min="18" max="22" width="16.19921875" bestFit="1" customWidth="1"/>
    <col min="23" max="23" width="8.9296875" customWidth="1"/>
    <col min="24" max="24" width="14.33203125" customWidth="1"/>
    <col min="25" max="25" width="53.46484375" customWidth="1"/>
  </cols>
  <sheetData>
    <row r="1" spans="1:25" ht="21" x14ac:dyDescent="0.65">
      <c r="A1" s="1">
        <f ca="1">NOW()</f>
        <v>45628.659463425924</v>
      </c>
      <c r="B1" s="1"/>
      <c r="F1" s="14" t="s">
        <v>0</v>
      </c>
      <c r="T1" s="145" t="s">
        <v>90</v>
      </c>
    </row>
    <row r="2" spans="1:25" ht="14.65" thickBot="1" x14ac:dyDescent="0.5"/>
    <row r="3" spans="1:25" x14ac:dyDescent="0.45">
      <c r="C3" s="281" t="s">
        <v>2</v>
      </c>
      <c r="D3" s="282"/>
      <c r="E3" s="282"/>
      <c r="F3" s="282"/>
      <c r="G3" s="282"/>
      <c r="H3" s="282"/>
      <c r="I3" s="282"/>
      <c r="J3" s="282"/>
      <c r="K3" s="282"/>
      <c r="L3" s="282"/>
      <c r="M3" s="282"/>
      <c r="N3" s="282"/>
      <c r="O3" s="282"/>
      <c r="P3" s="283"/>
      <c r="Q3" s="19" t="s">
        <v>1</v>
      </c>
      <c r="R3" s="281" t="s">
        <v>3</v>
      </c>
      <c r="S3" s="282"/>
      <c r="T3" s="282"/>
      <c r="U3" s="282"/>
      <c r="V3" s="283"/>
      <c r="W3" s="284" t="s">
        <v>22</v>
      </c>
      <c r="X3" s="285"/>
      <c r="Y3" s="19" t="s">
        <v>24</v>
      </c>
    </row>
    <row r="4" spans="1:25" ht="14.65" thickBot="1" x14ac:dyDescent="0.5">
      <c r="B4">
        <v>2009</v>
      </c>
      <c r="C4" s="9">
        <v>2010</v>
      </c>
      <c r="D4">
        <v>2011</v>
      </c>
      <c r="E4">
        <v>2012</v>
      </c>
      <c r="F4">
        <v>2013</v>
      </c>
      <c r="G4">
        <v>2014</v>
      </c>
      <c r="H4">
        <v>2015</v>
      </c>
      <c r="I4">
        <v>2016</v>
      </c>
      <c r="J4">
        <v>2017</v>
      </c>
      <c r="K4">
        <v>2018</v>
      </c>
      <c r="L4">
        <v>2019</v>
      </c>
      <c r="M4">
        <v>2020</v>
      </c>
      <c r="N4">
        <v>2021</v>
      </c>
      <c r="O4">
        <v>2022</v>
      </c>
      <c r="P4" s="10">
        <v>2023</v>
      </c>
      <c r="Q4" s="20">
        <v>2024</v>
      </c>
      <c r="R4" s="9">
        <v>2025</v>
      </c>
      <c r="S4">
        <v>2026</v>
      </c>
      <c r="T4">
        <v>2027</v>
      </c>
      <c r="U4">
        <v>2028</v>
      </c>
      <c r="V4" s="10">
        <v>2029</v>
      </c>
      <c r="W4" s="18" t="s">
        <v>2</v>
      </c>
      <c r="X4" s="21" t="s">
        <v>23</v>
      </c>
      <c r="Y4" s="22"/>
    </row>
    <row r="5" spans="1:25" x14ac:dyDescent="0.45">
      <c r="A5" s="23" t="s">
        <v>37</v>
      </c>
      <c r="B5" s="7"/>
      <c r="C5" s="6"/>
      <c r="D5" s="7"/>
      <c r="E5" s="7"/>
      <c r="F5" s="7"/>
      <c r="G5" s="150"/>
      <c r="H5" s="7"/>
      <c r="I5" s="7"/>
      <c r="J5" s="7"/>
      <c r="K5" s="7"/>
      <c r="L5" s="7"/>
      <c r="M5" s="7"/>
      <c r="N5" s="7"/>
      <c r="O5" s="7"/>
      <c r="P5" s="8"/>
      <c r="Q5" s="15"/>
      <c r="R5" s="6"/>
      <c r="S5" s="7"/>
      <c r="T5" s="7"/>
      <c r="U5" s="7"/>
      <c r="V5" s="8"/>
      <c r="W5" s="6"/>
      <c r="X5" s="8"/>
      <c r="Y5" s="8"/>
    </row>
    <row r="6" spans="1:25" x14ac:dyDescent="0.45">
      <c r="A6" s="24" t="s">
        <v>4</v>
      </c>
      <c r="B6" s="25" t="s">
        <v>19</v>
      </c>
      <c r="C6" s="39">
        <f>SUM(C7:C10)</f>
        <v>8657900.6990270466</v>
      </c>
      <c r="D6" s="26">
        <f t="shared" ref="D6:V6" si="0">SUM(D7:D10)</f>
        <v>6675858.9292180138</v>
      </c>
      <c r="E6" s="26">
        <f t="shared" si="0"/>
        <v>7003854.6669239597</v>
      </c>
      <c r="F6" s="26">
        <f t="shared" si="0"/>
        <v>7218277.9027122427</v>
      </c>
      <c r="G6" s="26">
        <f t="shared" si="0"/>
        <v>8134790.6997792358</v>
      </c>
      <c r="H6" s="26">
        <f t="shared" si="0"/>
        <v>8017609.8692915188</v>
      </c>
      <c r="I6" s="26">
        <f t="shared" si="0"/>
        <v>0</v>
      </c>
      <c r="J6" s="26">
        <f t="shared" si="0"/>
        <v>0</v>
      </c>
      <c r="K6" s="26">
        <f t="shared" si="0"/>
        <v>0</v>
      </c>
      <c r="L6" s="26">
        <f t="shared" si="0"/>
        <v>0</v>
      </c>
      <c r="M6" s="26">
        <f t="shared" si="0"/>
        <v>0</v>
      </c>
      <c r="N6" s="26">
        <f t="shared" si="0"/>
        <v>0</v>
      </c>
      <c r="O6" s="26">
        <f t="shared" si="0"/>
        <v>0</v>
      </c>
      <c r="P6" s="40">
        <f t="shared" si="0"/>
        <v>0</v>
      </c>
      <c r="Q6" s="91">
        <f t="shared" si="0"/>
        <v>0</v>
      </c>
      <c r="R6" s="39">
        <f t="shared" si="0"/>
        <v>11965489.838897338</v>
      </c>
      <c r="S6" s="26">
        <f t="shared" si="0"/>
        <v>12073398.718659148</v>
      </c>
      <c r="T6" s="26">
        <f t="shared" si="0"/>
        <v>12181307.598420955</v>
      </c>
      <c r="U6" s="26">
        <f t="shared" si="0"/>
        <v>12289216.478182767</v>
      </c>
      <c r="V6" s="40">
        <f t="shared" si="0"/>
        <v>12397125.357944576</v>
      </c>
      <c r="W6" s="118">
        <f>((H6/C6)^(1/5))-1</f>
        <v>-1.5248924228704719E-2</v>
      </c>
      <c r="X6" s="119">
        <f>((V6/R6)^(1/4))-1</f>
        <v>8.8988514177950062E-3</v>
      </c>
      <c r="Y6" s="10" t="s">
        <v>46</v>
      </c>
    </row>
    <row r="7" spans="1:25" x14ac:dyDescent="0.45">
      <c r="A7" s="28" t="s">
        <v>44</v>
      </c>
      <c r="C7" s="41">
        <f t="shared" ref="C7:H7" si="1">$C$68*C62</f>
        <v>8657900.6990270466</v>
      </c>
      <c r="D7" s="29">
        <f t="shared" si="1"/>
        <v>6675858.9292180138</v>
      </c>
      <c r="E7" s="29">
        <f t="shared" si="1"/>
        <v>7003854.6669239597</v>
      </c>
      <c r="F7" s="29">
        <f t="shared" si="1"/>
        <v>7218277.9027122427</v>
      </c>
      <c r="G7" s="29">
        <f t="shared" si="1"/>
        <v>8134790.6997792358</v>
      </c>
      <c r="H7" s="29">
        <f t="shared" si="1"/>
        <v>8017609.8692915188</v>
      </c>
      <c r="I7" s="29">
        <v>0</v>
      </c>
      <c r="J7" s="29">
        <v>0</v>
      </c>
      <c r="K7" s="29">
        <v>0</v>
      </c>
      <c r="L7" s="29">
        <v>0</v>
      </c>
      <c r="M7" s="29">
        <v>0</v>
      </c>
      <c r="N7" s="29">
        <v>0</v>
      </c>
      <c r="O7" s="29">
        <v>0</v>
      </c>
      <c r="P7" s="42">
        <v>0</v>
      </c>
      <c r="Q7" s="92">
        <v>0</v>
      </c>
      <c r="R7" s="41">
        <f>$C$68*R62</f>
        <v>9115489.8388973381</v>
      </c>
      <c r="S7" s="29">
        <f>$C$68*S62</f>
        <v>9223398.7186591476</v>
      </c>
      <c r="T7" s="29">
        <f>$C$68*T62</f>
        <v>9331307.5984209552</v>
      </c>
      <c r="U7" s="29">
        <f>$C$68*U62</f>
        <v>9439216.4781827666</v>
      </c>
      <c r="V7" s="42">
        <f>$C$68*V62</f>
        <v>9547125.3579445761</v>
      </c>
      <c r="W7" s="118"/>
      <c r="X7" s="119"/>
      <c r="Y7" s="30" t="s">
        <v>47</v>
      </c>
    </row>
    <row r="8" spans="1:25" x14ac:dyDescent="0.45">
      <c r="A8" s="28" t="s">
        <v>221</v>
      </c>
      <c r="C8" s="41">
        <v>0</v>
      </c>
      <c r="D8" s="29">
        <v>0</v>
      </c>
      <c r="E8" s="29">
        <v>0</v>
      </c>
      <c r="F8" s="29">
        <v>0</v>
      </c>
      <c r="G8" s="29">
        <v>0</v>
      </c>
      <c r="H8" s="29">
        <v>0</v>
      </c>
      <c r="I8" s="29">
        <v>0</v>
      </c>
      <c r="J8" s="29">
        <v>0</v>
      </c>
      <c r="K8" s="29">
        <v>0</v>
      </c>
      <c r="L8" s="29">
        <v>0</v>
      </c>
      <c r="M8" s="29">
        <v>0</v>
      </c>
      <c r="N8" s="29">
        <v>0</v>
      </c>
      <c r="O8" s="29">
        <v>0</v>
      </c>
      <c r="P8" s="42">
        <v>0</v>
      </c>
      <c r="Q8" s="92">
        <v>0</v>
      </c>
      <c r="R8" s="41">
        <f>2200000</f>
        <v>2200000</v>
      </c>
      <c r="S8" s="29">
        <f>2200000</f>
        <v>2200000</v>
      </c>
      <c r="T8" s="29">
        <f>2200000</f>
        <v>2200000</v>
      </c>
      <c r="U8" s="29">
        <f>2200000</f>
        <v>2200000</v>
      </c>
      <c r="V8" s="42">
        <f>2200000</f>
        <v>2200000</v>
      </c>
      <c r="W8" s="118"/>
      <c r="X8" s="119"/>
      <c r="Y8" s="30" t="s">
        <v>48</v>
      </c>
    </row>
    <row r="9" spans="1:25" ht="28.5" x14ac:dyDescent="0.45">
      <c r="A9" s="28" t="s">
        <v>43</v>
      </c>
      <c r="B9" s="31"/>
      <c r="C9" s="43">
        <v>0</v>
      </c>
      <c r="D9" s="32">
        <v>0</v>
      </c>
      <c r="E9" s="32">
        <v>0</v>
      </c>
      <c r="F9" s="32">
        <v>0</v>
      </c>
      <c r="G9" s="32">
        <v>0</v>
      </c>
      <c r="H9" s="32">
        <v>0</v>
      </c>
      <c r="I9" s="32">
        <v>0</v>
      </c>
      <c r="J9" s="32">
        <v>0</v>
      </c>
      <c r="K9" s="32">
        <v>0</v>
      </c>
      <c r="L9" s="32">
        <v>0</v>
      </c>
      <c r="M9" s="32">
        <v>0</v>
      </c>
      <c r="N9" s="32">
        <v>0</v>
      </c>
      <c r="O9" s="32">
        <v>0</v>
      </c>
      <c r="P9" s="44">
        <v>0</v>
      </c>
      <c r="Q9" s="93">
        <v>0</v>
      </c>
      <c r="R9" s="43">
        <v>150000</v>
      </c>
      <c r="S9" s="32">
        <v>150000</v>
      </c>
      <c r="T9" s="32">
        <v>150000</v>
      </c>
      <c r="U9" s="32">
        <v>150000</v>
      </c>
      <c r="V9" s="44">
        <v>150000</v>
      </c>
      <c r="W9" s="118"/>
      <c r="X9" s="119"/>
      <c r="Y9" s="33" t="s">
        <v>50</v>
      </c>
    </row>
    <row r="10" spans="1:25" x14ac:dyDescent="0.45">
      <c r="A10" s="28" t="s">
        <v>45</v>
      </c>
      <c r="C10" s="41">
        <v>0</v>
      </c>
      <c r="D10" s="29">
        <v>0</v>
      </c>
      <c r="E10" s="29">
        <v>0</v>
      </c>
      <c r="F10" s="29">
        <v>0</v>
      </c>
      <c r="G10" s="29">
        <v>0</v>
      </c>
      <c r="H10" s="29">
        <v>0</v>
      </c>
      <c r="I10" s="29">
        <v>0</v>
      </c>
      <c r="J10" s="29">
        <v>0</v>
      </c>
      <c r="K10" s="29">
        <v>0</v>
      </c>
      <c r="L10" s="29">
        <v>0</v>
      </c>
      <c r="M10" s="29">
        <v>0</v>
      </c>
      <c r="N10" s="29">
        <v>0</v>
      </c>
      <c r="O10" s="29">
        <v>0</v>
      </c>
      <c r="P10" s="42">
        <v>0</v>
      </c>
      <c r="Q10" s="92">
        <v>0</v>
      </c>
      <c r="R10" s="41">
        <v>500000</v>
      </c>
      <c r="S10" s="29">
        <v>500000</v>
      </c>
      <c r="T10" s="29">
        <v>500000</v>
      </c>
      <c r="U10" s="29">
        <v>500000</v>
      </c>
      <c r="V10" s="42">
        <v>500000</v>
      </c>
      <c r="W10" s="118"/>
      <c r="X10" s="119"/>
      <c r="Y10" s="10" t="s">
        <v>51</v>
      </c>
    </row>
    <row r="11" spans="1:25" ht="28.5" x14ac:dyDescent="0.45">
      <c r="A11" s="28" t="s">
        <v>42</v>
      </c>
      <c r="B11" s="31"/>
      <c r="C11" s="43">
        <v>0</v>
      </c>
      <c r="D11" s="32">
        <v>0</v>
      </c>
      <c r="E11" s="32">
        <v>0</v>
      </c>
      <c r="F11" s="32">
        <v>0</v>
      </c>
      <c r="G11" s="32">
        <v>0</v>
      </c>
      <c r="H11" s="32">
        <v>0</v>
      </c>
      <c r="I11" s="32">
        <v>0</v>
      </c>
      <c r="J11" s="32">
        <v>0</v>
      </c>
      <c r="K11" s="32">
        <v>0</v>
      </c>
      <c r="L11" s="32">
        <v>0</v>
      </c>
      <c r="M11" s="32">
        <v>0</v>
      </c>
      <c r="N11" s="32">
        <v>0</v>
      </c>
      <c r="O11" s="32">
        <v>0</v>
      </c>
      <c r="P11" s="44">
        <v>0</v>
      </c>
      <c r="Q11" s="93">
        <v>0</v>
      </c>
      <c r="R11" s="110">
        <v>187500</v>
      </c>
      <c r="S11" s="5">
        <v>187500</v>
      </c>
      <c r="T11" s="5">
        <v>187500</v>
      </c>
      <c r="U11" s="5">
        <v>187500</v>
      </c>
      <c r="V11" s="111">
        <v>187500</v>
      </c>
      <c r="W11" s="118"/>
      <c r="X11" s="119"/>
      <c r="Y11" s="34" t="s">
        <v>49</v>
      </c>
    </row>
    <row r="12" spans="1:25" x14ac:dyDescent="0.45">
      <c r="A12" s="35" t="s">
        <v>7</v>
      </c>
      <c r="B12" s="37">
        <v>0</v>
      </c>
      <c r="C12" s="45">
        <f t="shared" ref="C12:H12" si="2">$C$71*C64</f>
        <v>7125950.5141784875</v>
      </c>
      <c r="D12" s="37">
        <f t="shared" si="2"/>
        <v>7010247.1741520567</v>
      </c>
      <c r="E12" s="37">
        <f t="shared" si="2"/>
        <v>7436235.9825206622</v>
      </c>
      <c r="F12" s="37">
        <f t="shared" si="2"/>
        <v>7161023.7260329248</v>
      </c>
      <c r="G12" s="37">
        <f t="shared" si="2"/>
        <v>7184246.6487016072</v>
      </c>
      <c r="H12" s="37">
        <f t="shared" si="2"/>
        <v>6888961.5265691932</v>
      </c>
      <c r="I12" s="36">
        <v>0</v>
      </c>
      <c r="J12" s="36">
        <v>0</v>
      </c>
      <c r="K12" s="36">
        <v>0</v>
      </c>
      <c r="L12" s="36">
        <v>0</v>
      </c>
      <c r="M12" s="36">
        <v>0</v>
      </c>
      <c r="N12" s="36">
        <v>0</v>
      </c>
      <c r="O12" s="36">
        <v>0</v>
      </c>
      <c r="P12" s="46">
        <v>0</v>
      </c>
      <c r="Q12" s="94">
        <v>0</v>
      </c>
      <c r="R12" s="45">
        <f>$C$71*R64+0.3*SUM(R8:R11)</f>
        <v>8300397.6743522454</v>
      </c>
      <c r="S12" s="37">
        <f>$C$71*S64+0.3*SUM(S8:S11)</f>
        <v>8322691.6211616816</v>
      </c>
      <c r="T12" s="37">
        <f>$C$71*T64+0.3*SUM(T8:T11)</f>
        <v>8344985.567971115</v>
      </c>
      <c r="U12" s="37">
        <f>$C$71*U64+0.3*SUM(U8:U11)</f>
        <v>8367279.5147805512</v>
      </c>
      <c r="V12" s="61">
        <f>$C$71*V64+0.3*SUM(V8:V11)</f>
        <v>8389573.4615899865</v>
      </c>
      <c r="W12" s="9"/>
      <c r="X12" s="10"/>
      <c r="Y12" s="10" t="s">
        <v>191</v>
      </c>
    </row>
    <row r="13" spans="1:25" ht="14.65" thickBot="1" x14ac:dyDescent="0.5">
      <c r="A13" s="11" t="s">
        <v>9</v>
      </c>
      <c r="B13" s="12"/>
      <c r="C13" s="47">
        <f>IF(C6&lt;&gt;0,C12/C6,0)</f>
        <v>0.82305754730812331</v>
      </c>
      <c r="D13" s="38">
        <f t="shared" ref="D13:V13" si="3">IF(D6&lt;&gt;0,D12/D6,0)</f>
        <v>1.0500891718173577</v>
      </c>
      <c r="E13" s="38">
        <f t="shared" si="3"/>
        <v>1.0617347640919284</v>
      </c>
      <c r="F13" s="38">
        <f t="shared" si="3"/>
        <v>0.99206816674960596</v>
      </c>
      <c r="G13" s="53">
        <f t="shared" si="3"/>
        <v>0.88315076734507447</v>
      </c>
      <c r="H13" s="38">
        <f t="shared" si="3"/>
        <v>0.85922882740338935</v>
      </c>
      <c r="I13" s="38">
        <f t="shared" si="3"/>
        <v>0</v>
      </c>
      <c r="J13" s="38">
        <f t="shared" si="3"/>
        <v>0</v>
      </c>
      <c r="K13" s="38">
        <f t="shared" si="3"/>
        <v>0</v>
      </c>
      <c r="L13" s="38">
        <f t="shared" si="3"/>
        <v>0</v>
      </c>
      <c r="M13" s="38">
        <f t="shared" si="3"/>
        <v>0</v>
      </c>
      <c r="N13" s="38">
        <f t="shared" si="3"/>
        <v>0</v>
      </c>
      <c r="O13" s="38">
        <f t="shared" si="3"/>
        <v>0</v>
      </c>
      <c r="P13" s="48">
        <f t="shared" si="3"/>
        <v>0</v>
      </c>
      <c r="Q13" s="95">
        <f t="shared" si="3"/>
        <v>0</v>
      </c>
      <c r="R13" s="47">
        <f t="shared" si="3"/>
        <v>0.69369476604036429</v>
      </c>
      <c r="S13" s="38">
        <f t="shared" si="3"/>
        <v>0.68934123813033377</v>
      </c>
      <c r="T13" s="38">
        <f t="shared" si="3"/>
        <v>0.68506484222209962</v>
      </c>
      <c r="U13" s="38">
        <f t="shared" si="3"/>
        <v>0.68086354647874503</v>
      </c>
      <c r="V13" s="48">
        <f t="shared" si="3"/>
        <v>0.6767353898066063</v>
      </c>
      <c r="W13" s="11"/>
      <c r="X13" s="13"/>
      <c r="Y13" s="13"/>
    </row>
    <row r="14" spans="1:25" ht="14.65" thickBot="1" x14ac:dyDescent="0.5">
      <c r="C14" s="9"/>
      <c r="G14" s="149"/>
      <c r="P14" s="10"/>
      <c r="Q14" s="96"/>
      <c r="R14" s="9"/>
      <c r="V14" s="10"/>
      <c r="W14" s="9"/>
      <c r="X14" s="10"/>
      <c r="Y14" s="15"/>
    </row>
    <row r="15" spans="1:25" x14ac:dyDescent="0.45">
      <c r="A15" s="124" t="s">
        <v>5</v>
      </c>
      <c r="B15" s="125">
        <v>39788921.770000003</v>
      </c>
      <c r="C15" s="127">
        <f t="shared" ref="C15:V15" si="4">C62-C6</f>
        <v>38444612.440972954</v>
      </c>
      <c r="D15" s="126">
        <f t="shared" si="4"/>
        <v>29643538.100781988</v>
      </c>
      <c r="E15" s="126">
        <f t="shared" si="4"/>
        <v>31099973.033076044</v>
      </c>
      <c r="F15" s="126">
        <f t="shared" si="4"/>
        <v>32052099.707287759</v>
      </c>
      <c r="G15" s="26">
        <f t="shared" si="4"/>
        <v>36121790.560220763</v>
      </c>
      <c r="H15" s="126">
        <f t="shared" si="4"/>
        <v>35601459.850708477</v>
      </c>
      <c r="I15" s="126">
        <f t="shared" si="4"/>
        <v>43950089.280000001</v>
      </c>
      <c r="J15" s="126">
        <f t="shared" si="4"/>
        <v>44966920.759999998</v>
      </c>
      <c r="K15" s="126">
        <f t="shared" si="4"/>
        <v>45490678.640000001</v>
      </c>
      <c r="L15" s="126">
        <f t="shared" si="4"/>
        <v>46493271.119999997</v>
      </c>
      <c r="M15" s="126">
        <f t="shared" si="4"/>
        <v>44862620.130000003</v>
      </c>
      <c r="N15" s="126">
        <f t="shared" si="4"/>
        <v>46495023.869999997</v>
      </c>
      <c r="O15" s="126">
        <f t="shared" si="4"/>
        <v>47209956.939999998</v>
      </c>
      <c r="P15" s="128">
        <f t="shared" si="4"/>
        <v>48489260.350000001</v>
      </c>
      <c r="Q15" s="129">
        <f t="shared" si="4"/>
        <v>49004916.461443655</v>
      </c>
      <c r="R15" s="127">
        <f t="shared" si="4"/>
        <v>37626494.966662861</v>
      </c>
      <c r="S15" s="126">
        <f t="shared" si="4"/>
        <v>38105654.4310176</v>
      </c>
      <c r="T15" s="126">
        <f t="shared" si="4"/>
        <v>38584813.895372339</v>
      </c>
      <c r="U15" s="126">
        <f t="shared" si="4"/>
        <v>39063973.359727085</v>
      </c>
      <c r="V15" s="128">
        <f t="shared" si="4"/>
        <v>39543132.824081816</v>
      </c>
      <c r="W15" s="130">
        <f>((P15/C15)^(1/13))-1</f>
        <v>1.8016040212688544E-2</v>
      </c>
      <c r="X15" s="131">
        <f>((V15/Q15)^(1/5))-1</f>
        <v>-4.1998290466172761E-2</v>
      </c>
      <c r="Y15" s="15"/>
    </row>
    <row r="16" spans="1:25" x14ac:dyDescent="0.45">
      <c r="A16" s="132" t="s">
        <v>6</v>
      </c>
      <c r="B16" s="50">
        <f t="shared" ref="B16:V16" si="5">B64-B12</f>
        <v>27705957.050000001</v>
      </c>
      <c r="C16" s="49">
        <f t="shared" si="5"/>
        <v>26458634.455821518</v>
      </c>
      <c r="D16" s="50">
        <f t="shared" si="5"/>
        <v>26029028.275847942</v>
      </c>
      <c r="E16" s="50">
        <f t="shared" si="5"/>
        <v>27610723.537479341</v>
      </c>
      <c r="F16" s="50">
        <f t="shared" si="5"/>
        <v>26588861.193967078</v>
      </c>
      <c r="G16" s="50">
        <f t="shared" si="5"/>
        <v>26675087.841298394</v>
      </c>
      <c r="H16" s="50">
        <f t="shared" si="5"/>
        <v>25578695.003430806</v>
      </c>
      <c r="I16" s="50">
        <f t="shared" si="5"/>
        <v>32919860.859999999</v>
      </c>
      <c r="J16" s="50">
        <f t="shared" si="5"/>
        <v>32508666.940000001</v>
      </c>
      <c r="K16" s="50">
        <f t="shared" si="5"/>
        <v>31902032.98</v>
      </c>
      <c r="L16" s="50">
        <f t="shared" si="5"/>
        <v>33831022.150000006</v>
      </c>
      <c r="M16" s="50">
        <f t="shared" si="5"/>
        <v>34664515.969999999</v>
      </c>
      <c r="N16" s="50">
        <f t="shared" si="5"/>
        <v>34179925</v>
      </c>
      <c r="O16" s="50">
        <f t="shared" si="5"/>
        <v>35653469.960000001</v>
      </c>
      <c r="P16" s="51">
        <f t="shared" si="5"/>
        <v>35451340.909999996</v>
      </c>
      <c r="Q16" s="97">
        <f t="shared" si="5"/>
        <v>34719961.14510566</v>
      </c>
      <c r="R16" s="49">
        <f t="shared" si="5"/>
        <v>26524634.780110449</v>
      </c>
      <c r="S16" s="50">
        <f t="shared" si="5"/>
        <v>26607412.142658044</v>
      </c>
      <c r="T16" s="50">
        <f t="shared" si="5"/>
        <v>26690189.505205635</v>
      </c>
      <c r="U16" s="50">
        <f t="shared" si="5"/>
        <v>26772966.86775323</v>
      </c>
      <c r="V16" s="51">
        <f t="shared" si="5"/>
        <v>26855744.230300829</v>
      </c>
      <c r="W16" s="9"/>
      <c r="X16" s="10"/>
      <c r="Y16" s="96"/>
    </row>
    <row r="17" spans="1:25" x14ac:dyDescent="0.45">
      <c r="A17" s="9" t="s">
        <v>9</v>
      </c>
      <c r="B17" s="53">
        <f>B16/B15</f>
        <v>0.69632339398776322</v>
      </c>
      <c r="C17" s="52">
        <f t="shared" ref="C17:P17" si="6">C16/C15</f>
        <v>0.68822736856680622</v>
      </c>
      <c r="D17" s="53">
        <f t="shared" si="6"/>
        <v>0.87806752983920311</v>
      </c>
      <c r="E17" s="53">
        <f t="shared" si="6"/>
        <v>0.88780538517233598</v>
      </c>
      <c r="F17" s="53">
        <f t="shared" si="6"/>
        <v>0.82955130667840482</v>
      </c>
      <c r="G17" s="53">
        <f t="shared" si="6"/>
        <v>0.73847634426723074</v>
      </c>
      <c r="H17" s="53">
        <f t="shared" si="6"/>
        <v>0.7184732061744874</v>
      </c>
      <c r="I17" s="53">
        <f t="shared" si="6"/>
        <v>0.74902830459051117</v>
      </c>
      <c r="J17" s="53">
        <f t="shared" si="6"/>
        <v>0.72294625450355166</v>
      </c>
      <c r="K17" s="53">
        <f t="shared" si="6"/>
        <v>0.70128725122927738</v>
      </c>
      <c r="L17" s="53">
        <f t="shared" si="6"/>
        <v>0.72765416016183304</v>
      </c>
      <c r="M17" s="53">
        <f t="shared" si="6"/>
        <v>0.77268148560096139</v>
      </c>
      <c r="N17" s="53">
        <f t="shared" si="6"/>
        <v>0.73513081949515735</v>
      </c>
      <c r="O17" s="53">
        <f t="shared" si="6"/>
        <v>0.75521081295017178</v>
      </c>
      <c r="P17" s="54">
        <f t="shared" si="6"/>
        <v>0.73111737844852476</v>
      </c>
      <c r="Q17" s="98">
        <f t="shared" ref="Q17:V17" si="7">Q16/Q15</f>
        <v>0.70849954764075174</v>
      </c>
      <c r="R17" s="52">
        <f t="shared" si="7"/>
        <v>0.70494567202210356</v>
      </c>
      <c r="S17" s="53">
        <f t="shared" si="7"/>
        <v>0.6982536460783072</v>
      </c>
      <c r="T17" s="53">
        <f t="shared" si="7"/>
        <v>0.69172782788533071</v>
      </c>
      <c r="U17" s="53">
        <f t="shared" si="7"/>
        <v>0.68536210132056763</v>
      </c>
      <c r="V17" s="54">
        <f t="shared" si="7"/>
        <v>0.679150646707123</v>
      </c>
      <c r="W17" s="9"/>
      <c r="X17" s="10"/>
      <c r="Y17" s="96"/>
    </row>
    <row r="18" spans="1:25" ht="14.65" thickBot="1" x14ac:dyDescent="0.5">
      <c r="A18" s="11"/>
      <c r="B18" s="12"/>
      <c r="C18" s="11"/>
      <c r="D18" s="12"/>
      <c r="E18" s="12"/>
      <c r="F18" s="12"/>
      <c r="H18" s="12"/>
      <c r="I18" s="12"/>
      <c r="J18" s="12"/>
      <c r="K18" s="12"/>
      <c r="L18" s="12"/>
      <c r="M18" s="12"/>
      <c r="N18" s="12"/>
      <c r="O18" s="12"/>
      <c r="P18" s="13"/>
      <c r="Q18" s="16"/>
      <c r="R18" s="11"/>
      <c r="S18" s="12"/>
      <c r="T18" s="12"/>
      <c r="U18" s="12"/>
      <c r="V18" s="13"/>
      <c r="W18" s="11"/>
      <c r="X18" s="13"/>
      <c r="Y18" s="16"/>
    </row>
    <row r="19" spans="1:25" ht="14.65" thickBot="1" x14ac:dyDescent="0.5">
      <c r="C19" s="9"/>
      <c r="G19" s="149"/>
      <c r="P19" s="10"/>
      <c r="Q19" s="96"/>
      <c r="R19" s="9"/>
      <c r="V19" s="10"/>
      <c r="W19" s="9"/>
      <c r="X19" s="10"/>
      <c r="Y19" s="96"/>
    </row>
    <row r="20" spans="1:25" x14ac:dyDescent="0.45">
      <c r="A20" s="23" t="s">
        <v>38</v>
      </c>
      <c r="B20" s="7"/>
      <c r="C20" s="6"/>
      <c r="D20" s="7"/>
      <c r="E20" s="7"/>
      <c r="F20" s="7"/>
      <c r="H20" s="7"/>
      <c r="I20" s="7"/>
      <c r="J20" s="7"/>
      <c r="K20" s="7"/>
      <c r="L20" s="7"/>
      <c r="M20" s="7"/>
      <c r="N20" s="7"/>
      <c r="O20" s="7"/>
      <c r="P20" s="8"/>
      <c r="Q20" s="15"/>
      <c r="R20" s="6"/>
      <c r="S20" s="7"/>
      <c r="T20" s="7"/>
      <c r="U20" s="7"/>
      <c r="V20" s="8"/>
      <c r="W20" s="6"/>
      <c r="X20" s="8"/>
      <c r="Y20" s="15"/>
    </row>
    <row r="21" spans="1:25" x14ac:dyDescent="0.45">
      <c r="A21" s="24" t="s">
        <v>52</v>
      </c>
      <c r="B21" s="25"/>
      <c r="C21" s="39">
        <f t="shared" ref="C21:Q21" si="8">SUM(C22:C36)</f>
        <v>0</v>
      </c>
      <c r="D21" s="26">
        <f t="shared" si="8"/>
        <v>0</v>
      </c>
      <c r="E21" s="26">
        <f t="shared" si="8"/>
        <v>0</v>
      </c>
      <c r="F21" s="26">
        <f t="shared" si="8"/>
        <v>0</v>
      </c>
      <c r="G21" s="26">
        <f t="shared" si="8"/>
        <v>0</v>
      </c>
      <c r="H21" s="26">
        <f t="shared" si="8"/>
        <v>0</v>
      </c>
      <c r="I21" s="26">
        <f t="shared" si="8"/>
        <v>0</v>
      </c>
      <c r="J21" s="26">
        <f t="shared" si="8"/>
        <v>0</v>
      </c>
      <c r="K21" s="26">
        <f t="shared" si="8"/>
        <v>0</v>
      </c>
      <c r="L21" s="26">
        <f t="shared" si="8"/>
        <v>0</v>
      </c>
      <c r="M21" s="26">
        <f t="shared" si="8"/>
        <v>0</v>
      </c>
      <c r="N21" s="26">
        <f t="shared" si="8"/>
        <v>0</v>
      </c>
      <c r="O21" s="26">
        <f t="shared" si="8"/>
        <v>0</v>
      </c>
      <c r="P21" s="40">
        <f t="shared" si="8"/>
        <v>0</v>
      </c>
      <c r="Q21" s="91">
        <f t="shared" si="8"/>
        <v>0</v>
      </c>
      <c r="R21" s="39">
        <f>SUM(R22:R25,R29,R33:R36)</f>
        <v>26678126.8168642</v>
      </c>
      <c r="S21" s="39">
        <f t="shared" ref="S21:V21" si="9">SUM(S22:S25,S29,S33:S36)</f>
        <v>32077784.373652194</v>
      </c>
      <c r="T21" s="39">
        <f t="shared" si="9"/>
        <v>33225761.532040186</v>
      </c>
      <c r="U21" s="39">
        <f t="shared" si="9"/>
        <v>34481091.181231387</v>
      </c>
      <c r="V21" s="39">
        <f t="shared" si="9"/>
        <v>35857191.307457387</v>
      </c>
      <c r="W21" s="118">
        <f>IF(C21&lt;&gt;0,((P21/C21)^(1/13))-1, 0)</f>
        <v>0</v>
      </c>
      <c r="X21" s="119">
        <f>((V21/R21)^(1/4))-1</f>
        <v>7.6726083535409551E-2</v>
      </c>
      <c r="Y21" s="96"/>
    </row>
    <row r="22" spans="1:25" x14ac:dyDescent="0.45">
      <c r="A22" s="133" t="s">
        <v>53</v>
      </c>
      <c r="B22" s="56"/>
      <c r="C22" s="55">
        <v>0</v>
      </c>
      <c r="D22" s="56">
        <v>0</v>
      </c>
      <c r="E22" s="56">
        <v>0</v>
      </c>
      <c r="F22" s="56">
        <v>0</v>
      </c>
      <c r="G22" s="56">
        <v>0</v>
      </c>
      <c r="H22" s="56">
        <v>0</v>
      </c>
      <c r="I22" s="56">
        <v>0</v>
      </c>
      <c r="J22" s="56">
        <v>0</v>
      </c>
      <c r="K22" s="56">
        <v>0</v>
      </c>
      <c r="L22" s="56">
        <v>0</v>
      </c>
      <c r="M22" s="56">
        <v>0</v>
      </c>
      <c r="N22" s="56">
        <v>0</v>
      </c>
      <c r="O22" s="56">
        <v>0</v>
      </c>
      <c r="P22" s="57">
        <v>0</v>
      </c>
      <c r="Q22" s="99">
        <v>0</v>
      </c>
      <c r="R22" s="71">
        <f>0.15*R15</f>
        <v>5643974.2449994292</v>
      </c>
      <c r="S22" s="72">
        <f>0.15*S15</f>
        <v>5715848.16465264</v>
      </c>
      <c r="T22" s="72">
        <f>0.15*T15</f>
        <v>5787722.0843058508</v>
      </c>
      <c r="U22" s="72">
        <f>0.15*U15</f>
        <v>5859596.0039590625</v>
      </c>
      <c r="V22" s="73">
        <f>0.15*V15</f>
        <v>5931469.9236122724</v>
      </c>
      <c r="W22" s="9"/>
      <c r="X22" s="10"/>
      <c r="Y22" s="96"/>
    </row>
    <row r="23" spans="1:25" x14ac:dyDescent="0.45">
      <c r="A23" s="133" t="s">
        <v>54</v>
      </c>
      <c r="B23" s="56"/>
      <c r="C23" s="55">
        <v>0</v>
      </c>
      <c r="D23" s="56">
        <v>0</v>
      </c>
      <c r="E23" s="56">
        <v>0</v>
      </c>
      <c r="F23" s="56">
        <v>0</v>
      </c>
      <c r="G23" s="56">
        <v>0</v>
      </c>
      <c r="H23" s="56">
        <v>0</v>
      </c>
      <c r="I23" s="56">
        <v>0</v>
      </c>
      <c r="J23" s="56">
        <v>0</v>
      </c>
      <c r="K23" s="56">
        <v>0</v>
      </c>
      <c r="L23" s="56">
        <v>0</v>
      </c>
      <c r="M23" s="56">
        <v>0</v>
      </c>
      <c r="N23" s="56">
        <v>0</v>
      </c>
      <c r="O23" s="56">
        <v>0</v>
      </c>
      <c r="P23" s="57">
        <v>0</v>
      </c>
      <c r="Q23" s="99">
        <v>0</v>
      </c>
      <c r="R23" s="71">
        <f>0.09*R15</f>
        <v>3386384.5469996575</v>
      </c>
      <c r="S23" s="72">
        <f>0.09*S15</f>
        <v>3429508.8987915837</v>
      </c>
      <c r="T23" s="72">
        <f>0.09*T15</f>
        <v>3472633.2505835104</v>
      </c>
      <c r="U23" s="72">
        <f>0.09*U15</f>
        <v>3515757.6023754375</v>
      </c>
      <c r="V23" s="73">
        <f>0.09*V15</f>
        <v>3558881.9541673632</v>
      </c>
      <c r="W23" s="9"/>
      <c r="X23" s="10"/>
      <c r="Y23" s="96"/>
    </row>
    <row r="24" spans="1:25" x14ac:dyDescent="0.45">
      <c r="A24" s="133" t="s">
        <v>55</v>
      </c>
      <c r="B24" s="56"/>
      <c r="C24" s="55">
        <v>0</v>
      </c>
      <c r="D24" s="56">
        <v>0</v>
      </c>
      <c r="E24" s="56">
        <v>0</v>
      </c>
      <c r="F24" s="56">
        <v>0</v>
      </c>
      <c r="G24" s="56">
        <v>0</v>
      </c>
      <c r="H24" s="56">
        <v>0</v>
      </c>
      <c r="I24" s="56">
        <v>0</v>
      </c>
      <c r="J24" s="56">
        <v>0</v>
      </c>
      <c r="K24" s="56">
        <v>0</v>
      </c>
      <c r="L24" s="56">
        <v>0</v>
      </c>
      <c r="M24" s="56">
        <v>0</v>
      </c>
      <c r="N24" s="56">
        <v>0</v>
      </c>
      <c r="O24" s="56">
        <v>0</v>
      </c>
      <c r="P24" s="57">
        <v>0</v>
      </c>
      <c r="Q24" s="99">
        <v>0</v>
      </c>
      <c r="R24" s="71">
        <f>0.225*R15</f>
        <v>8465961.3674991447</v>
      </c>
      <c r="S24" s="72">
        <f>0.225*S15</f>
        <v>8573772.2469789609</v>
      </c>
      <c r="T24" s="72">
        <f>0.225*T15</f>
        <v>8681583.1264587771</v>
      </c>
      <c r="U24" s="72">
        <f>0.225*U15</f>
        <v>8789394.0059385952</v>
      </c>
      <c r="V24" s="73">
        <f>0.225*V15</f>
        <v>8897204.8854184095</v>
      </c>
      <c r="W24" s="9"/>
      <c r="X24" s="10"/>
      <c r="Y24" s="96"/>
    </row>
    <row r="25" spans="1:25" x14ac:dyDescent="0.45">
      <c r="A25" s="134" t="s">
        <v>65</v>
      </c>
      <c r="B25" s="59"/>
      <c r="C25" s="58">
        <v>0</v>
      </c>
      <c r="D25" s="59">
        <v>0</v>
      </c>
      <c r="E25" s="59">
        <v>0</v>
      </c>
      <c r="F25" s="59">
        <v>0</v>
      </c>
      <c r="G25" s="59">
        <v>0</v>
      </c>
      <c r="H25" s="59">
        <v>0</v>
      </c>
      <c r="I25" s="59">
        <v>0</v>
      </c>
      <c r="J25" s="59">
        <v>0</v>
      </c>
      <c r="K25" s="59">
        <v>0</v>
      </c>
      <c r="L25" s="59">
        <v>0</v>
      </c>
      <c r="M25" s="59">
        <v>0</v>
      </c>
      <c r="N25" s="59">
        <v>0</v>
      </c>
      <c r="O25" s="59">
        <v>0</v>
      </c>
      <c r="P25" s="60">
        <v>0</v>
      </c>
      <c r="Q25" s="100">
        <v>0</v>
      </c>
      <c r="R25" s="112">
        <f>SUM(R26:R28)</f>
        <v>3440000</v>
      </c>
      <c r="S25" s="113">
        <f>SUM(S26:S28)</f>
        <v>6870000</v>
      </c>
      <c r="T25" s="113">
        <f>SUM(T26:T28)</f>
        <v>7728750</v>
      </c>
      <c r="U25" s="113">
        <f>SUM(U26:U28)</f>
        <v>8694843.75</v>
      </c>
      <c r="V25" s="114">
        <f>SUM(V26:V28)</f>
        <v>9781699.21875</v>
      </c>
      <c r="W25" s="9"/>
      <c r="X25" s="10"/>
      <c r="Y25" s="96"/>
    </row>
    <row r="26" spans="1:25" ht="28.5" x14ac:dyDescent="0.45">
      <c r="A26" s="133" t="s">
        <v>61</v>
      </c>
      <c r="B26" s="56"/>
      <c r="C26" s="58">
        <v>0</v>
      </c>
      <c r="D26" s="59">
        <v>0</v>
      </c>
      <c r="E26" s="59">
        <v>0</v>
      </c>
      <c r="F26" s="59">
        <v>0</v>
      </c>
      <c r="G26" s="59">
        <v>0</v>
      </c>
      <c r="H26" s="59">
        <v>0</v>
      </c>
      <c r="I26" s="59">
        <v>0</v>
      </c>
      <c r="J26" s="59">
        <v>0</v>
      </c>
      <c r="K26" s="59">
        <v>0</v>
      </c>
      <c r="L26" s="59">
        <v>0</v>
      </c>
      <c r="M26" s="59">
        <v>0</v>
      </c>
      <c r="N26" s="59">
        <v>0</v>
      </c>
      <c r="O26" s="59">
        <v>0</v>
      </c>
      <c r="P26" s="60">
        <v>0</v>
      </c>
      <c r="Q26" s="100">
        <v>0</v>
      </c>
      <c r="R26" s="71">
        <f>20000*100*10*0.1</f>
        <v>2000000</v>
      </c>
      <c r="S26" s="72">
        <f t="shared" ref="S26:V27" si="10">R26*1.125</f>
        <v>2250000</v>
      </c>
      <c r="T26" s="72">
        <f t="shared" si="10"/>
        <v>2531250</v>
      </c>
      <c r="U26" s="72">
        <f t="shared" si="10"/>
        <v>2847656.25</v>
      </c>
      <c r="V26" s="73">
        <f t="shared" si="10"/>
        <v>3203613.28125</v>
      </c>
      <c r="W26" s="9"/>
      <c r="X26" s="10"/>
      <c r="Y26" s="122" t="s">
        <v>64</v>
      </c>
    </row>
    <row r="27" spans="1:25" ht="28.5" x14ac:dyDescent="0.45">
      <c r="A27" s="133" t="s">
        <v>62</v>
      </c>
      <c r="B27" s="56"/>
      <c r="C27" s="58">
        <v>0</v>
      </c>
      <c r="D27" s="59">
        <v>0</v>
      </c>
      <c r="E27" s="59">
        <v>0</v>
      </c>
      <c r="F27" s="59">
        <v>0</v>
      </c>
      <c r="G27" s="59">
        <v>0</v>
      </c>
      <c r="H27" s="59">
        <v>0</v>
      </c>
      <c r="I27" s="59">
        <v>0</v>
      </c>
      <c r="J27" s="59">
        <v>0</v>
      </c>
      <c r="K27" s="59">
        <v>0</v>
      </c>
      <c r="L27" s="59">
        <v>0</v>
      </c>
      <c r="M27" s="59">
        <v>0</v>
      </c>
      <c r="N27" s="59">
        <v>0</v>
      </c>
      <c r="O27" s="59">
        <v>0</v>
      </c>
      <c r="P27" s="60">
        <v>0</v>
      </c>
      <c r="Q27" s="100">
        <v>0</v>
      </c>
      <c r="R27" s="72">
        <f>15000*200*4*0.12</f>
        <v>1440000</v>
      </c>
      <c r="S27" s="72">
        <f t="shared" si="10"/>
        <v>1620000</v>
      </c>
      <c r="T27" s="72">
        <f t="shared" si="10"/>
        <v>1822500</v>
      </c>
      <c r="U27" s="72">
        <f t="shared" si="10"/>
        <v>2050312.5</v>
      </c>
      <c r="V27" s="72">
        <f t="shared" si="10"/>
        <v>2306601.5625</v>
      </c>
      <c r="W27" s="9"/>
      <c r="X27" s="10"/>
      <c r="Y27" s="122" t="s">
        <v>149</v>
      </c>
    </row>
    <row r="28" spans="1:25" ht="28.5" x14ac:dyDescent="0.45">
      <c r="A28" s="133" t="s">
        <v>63</v>
      </c>
      <c r="B28" s="56"/>
      <c r="C28" s="58">
        <v>0</v>
      </c>
      <c r="D28" s="59">
        <v>0</v>
      </c>
      <c r="E28" s="59">
        <v>0</v>
      </c>
      <c r="F28" s="59">
        <v>0</v>
      </c>
      <c r="G28" s="59">
        <v>0</v>
      </c>
      <c r="H28" s="59">
        <v>0</v>
      </c>
      <c r="I28" s="59">
        <v>0</v>
      </c>
      <c r="J28" s="59">
        <v>0</v>
      </c>
      <c r="K28" s="59">
        <v>0</v>
      </c>
      <c r="L28" s="59">
        <v>0</v>
      </c>
      <c r="M28" s="59">
        <v>0</v>
      </c>
      <c r="N28" s="59">
        <v>0</v>
      </c>
      <c r="O28" s="59">
        <v>0</v>
      </c>
      <c r="P28" s="60">
        <v>0</v>
      </c>
      <c r="Q28" s="100">
        <v>0</v>
      </c>
      <c r="R28" s="71">
        <v>0</v>
      </c>
      <c r="S28" s="72">
        <f>20000*250*4*0.15</f>
        <v>3000000</v>
      </c>
      <c r="T28" s="72">
        <f>S28*1.125</f>
        <v>3375000</v>
      </c>
      <c r="U28" s="72">
        <f>T28*1.125</f>
        <v>3796875</v>
      </c>
      <c r="V28" s="73">
        <f>U28*1.125</f>
        <v>4271484.375</v>
      </c>
      <c r="W28" s="9"/>
      <c r="X28" s="10"/>
      <c r="Y28" s="122" t="s">
        <v>150</v>
      </c>
    </row>
    <row r="29" spans="1:25" x14ac:dyDescent="0.45">
      <c r="A29" s="134" t="s">
        <v>66</v>
      </c>
      <c r="B29" s="59"/>
      <c r="C29" s="58">
        <v>0</v>
      </c>
      <c r="D29" s="59">
        <v>0</v>
      </c>
      <c r="E29" s="59">
        <v>0</v>
      </c>
      <c r="F29" s="59">
        <v>0</v>
      </c>
      <c r="G29" s="59">
        <v>0</v>
      </c>
      <c r="H29" s="59">
        <v>0</v>
      </c>
      <c r="I29" s="59">
        <v>0</v>
      </c>
      <c r="J29" s="59">
        <v>0</v>
      </c>
      <c r="K29" s="59">
        <v>0</v>
      </c>
      <c r="L29" s="59">
        <v>0</v>
      </c>
      <c r="M29" s="59">
        <v>0</v>
      </c>
      <c r="N29" s="59">
        <v>0</v>
      </c>
      <c r="O29" s="59">
        <v>0</v>
      </c>
      <c r="P29" s="60">
        <v>0</v>
      </c>
      <c r="Q29" s="100">
        <v>0</v>
      </c>
      <c r="R29" s="112">
        <f>SUM(R30:R32)</f>
        <v>500400</v>
      </c>
      <c r="S29" s="113">
        <f>SUM(S30:S32)</f>
        <v>2185200.7999999998</v>
      </c>
      <c r="T29" s="113">
        <f>SUM(T30:T32)</f>
        <v>2189571.2016000003</v>
      </c>
      <c r="U29" s="113">
        <f>SUM(U30:U32)</f>
        <v>2193950.3440032001</v>
      </c>
      <c r="V29" s="114">
        <f>SUM(V30:V32)</f>
        <v>2198338.2446912061</v>
      </c>
      <c r="W29" s="9"/>
      <c r="X29" s="10"/>
      <c r="Y29" s="96"/>
    </row>
    <row r="30" spans="1:25" ht="28.5" x14ac:dyDescent="0.45">
      <c r="A30" s="133" t="s">
        <v>61</v>
      </c>
      <c r="B30" s="56"/>
      <c r="C30" s="58">
        <v>0</v>
      </c>
      <c r="D30" s="59">
        <v>0</v>
      </c>
      <c r="E30" s="59">
        <v>0</v>
      </c>
      <c r="F30" s="59">
        <v>0</v>
      </c>
      <c r="G30" s="59">
        <v>0</v>
      </c>
      <c r="H30" s="59">
        <v>0</v>
      </c>
      <c r="I30" s="59">
        <v>0</v>
      </c>
      <c r="J30" s="59">
        <v>0</v>
      </c>
      <c r="K30" s="59">
        <v>0</v>
      </c>
      <c r="L30" s="59">
        <v>0</v>
      </c>
      <c r="M30" s="59">
        <v>0</v>
      </c>
      <c r="N30" s="59">
        <v>0</v>
      </c>
      <c r="O30" s="59">
        <v>0</v>
      </c>
      <c r="P30" s="60">
        <v>0</v>
      </c>
      <c r="Q30" s="100">
        <v>0</v>
      </c>
      <c r="R30" s="71">
        <v>0</v>
      </c>
      <c r="S30" s="72">
        <f>9338*100*10*0.1</f>
        <v>933800</v>
      </c>
      <c r="T30" s="72">
        <f t="shared" ref="T30:V32" si="11">S30*1.002</f>
        <v>935667.6</v>
      </c>
      <c r="U30" s="72">
        <f t="shared" si="11"/>
        <v>937538.93519999995</v>
      </c>
      <c r="V30" s="73">
        <f t="shared" si="11"/>
        <v>939414.01307039999</v>
      </c>
      <c r="W30" s="9"/>
      <c r="X30" s="10"/>
      <c r="Y30" s="122" t="s">
        <v>151</v>
      </c>
    </row>
    <row r="31" spans="1:25" ht="28.5" x14ac:dyDescent="0.45">
      <c r="A31" s="133" t="s">
        <v>62</v>
      </c>
      <c r="B31" s="56"/>
      <c r="C31" s="58">
        <v>0</v>
      </c>
      <c r="D31" s="59">
        <v>0</v>
      </c>
      <c r="E31" s="59">
        <v>0</v>
      </c>
      <c r="F31" s="59">
        <v>0</v>
      </c>
      <c r="G31" s="59">
        <v>0</v>
      </c>
      <c r="H31" s="59">
        <v>0</v>
      </c>
      <c r="I31" s="59">
        <v>0</v>
      </c>
      <c r="J31" s="59">
        <v>0</v>
      </c>
      <c r="K31" s="59">
        <v>0</v>
      </c>
      <c r="L31" s="59">
        <v>0</v>
      </c>
      <c r="M31" s="59">
        <v>0</v>
      </c>
      <c r="N31" s="59">
        <v>0</v>
      </c>
      <c r="O31" s="59">
        <v>0</v>
      </c>
      <c r="P31" s="60">
        <v>0</v>
      </c>
      <c r="Q31" s="100">
        <v>0</v>
      </c>
      <c r="R31" s="71">
        <f>12510*200*4*0.05</f>
        <v>500400</v>
      </c>
      <c r="S31" s="72">
        <f>R31*1.002</f>
        <v>501400.8</v>
      </c>
      <c r="T31" s="72">
        <f t="shared" si="11"/>
        <v>502403.60159999999</v>
      </c>
      <c r="U31" s="72">
        <f t="shared" si="11"/>
        <v>503408.4088032</v>
      </c>
      <c r="V31" s="73">
        <f t="shared" si="11"/>
        <v>504415.22562080639</v>
      </c>
      <c r="W31" s="9"/>
      <c r="X31" s="10"/>
      <c r="Y31" s="122" t="s">
        <v>152</v>
      </c>
    </row>
    <row r="32" spans="1:25" ht="28.5" x14ac:dyDescent="0.45">
      <c r="A32" s="133" t="s">
        <v>63</v>
      </c>
      <c r="B32" s="56"/>
      <c r="C32" s="58">
        <v>0</v>
      </c>
      <c r="D32" s="59">
        <v>0</v>
      </c>
      <c r="E32" s="59">
        <v>0</v>
      </c>
      <c r="F32" s="59">
        <v>0</v>
      </c>
      <c r="G32" s="59">
        <v>0</v>
      </c>
      <c r="H32" s="59">
        <v>0</v>
      </c>
      <c r="I32" s="59">
        <v>0</v>
      </c>
      <c r="J32" s="59">
        <v>0</v>
      </c>
      <c r="K32" s="59">
        <v>0</v>
      </c>
      <c r="L32" s="59">
        <v>0</v>
      </c>
      <c r="M32" s="59">
        <v>0</v>
      </c>
      <c r="N32" s="59">
        <v>0</v>
      </c>
      <c r="O32" s="59">
        <v>0</v>
      </c>
      <c r="P32" s="60">
        <v>0</v>
      </c>
      <c r="Q32" s="100">
        <v>0</v>
      </c>
      <c r="S32" s="71">
        <f>15000*250*4*0.05</f>
        <v>750000</v>
      </c>
      <c r="T32" s="72">
        <f t="shared" si="11"/>
        <v>751500</v>
      </c>
      <c r="U32" s="72">
        <f t="shared" si="11"/>
        <v>753003</v>
      </c>
      <c r="V32" s="73">
        <f t="shared" si="11"/>
        <v>754509.00600000005</v>
      </c>
      <c r="W32" s="9"/>
      <c r="X32" s="10"/>
      <c r="Y32" s="122" t="s">
        <v>153</v>
      </c>
    </row>
    <row r="33" spans="1:25" x14ac:dyDescent="0.45">
      <c r="A33" s="133" t="s">
        <v>60</v>
      </c>
      <c r="B33" s="56"/>
      <c r="C33" s="55">
        <v>0</v>
      </c>
      <c r="D33" s="56">
        <v>0</v>
      </c>
      <c r="E33" s="56">
        <v>0</v>
      </c>
      <c r="F33" s="56">
        <v>0</v>
      </c>
      <c r="G33" s="56">
        <v>0</v>
      </c>
      <c r="H33" s="56">
        <v>0</v>
      </c>
      <c r="I33" s="56">
        <v>0</v>
      </c>
      <c r="J33" s="56">
        <v>0</v>
      </c>
      <c r="K33" s="56">
        <v>0</v>
      </c>
      <c r="L33" s="56">
        <v>0</v>
      </c>
      <c r="M33" s="56">
        <v>0</v>
      </c>
      <c r="N33" s="56">
        <v>0</v>
      </c>
      <c r="O33" s="56">
        <v>0</v>
      </c>
      <c r="P33" s="57">
        <v>0</v>
      </c>
      <c r="Q33" s="99">
        <v>0</v>
      </c>
      <c r="R33" s="71">
        <f>0.275*R7</f>
        <v>2506759.7056967681</v>
      </c>
      <c r="S33" s="72">
        <f>0.275*S7</f>
        <v>2536434.6476312657</v>
      </c>
      <c r="T33" s="72">
        <f>0.275*T7</f>
        <v>2566109.5895657628</v>
      </c>
      <c r="U33" s="72">
        <f>0.275*U7</f>
        <v>2595784.5315002608</v>
      </c>
      <c r="V33" s="73">
        <f>0.275*V7</f>
        <v>2625459.4734347588</v>
      </c>
      <c r="W33" s="9"/>
      <c r="X33" s="10"/>
      <c r="Y33" s="96"/>
    </row>
    <row r="34" spans="1:25" x14ac:dyDescent="0.45">
      <c r="A34" s="133" t="s">
        <v>56</v>
      </c>
      <c r="B34" s="56"/>
      <c r="C34" s="55">
        <v>0</v>
      </c>
      <c r="D34" s="56">
        <v>0</v>
      </c>
      <c r="E34" s="56">
        <v>0</v>
      </c>
      <c r="F34" s="56">
        <v>0</v>
      </c>
      <c r="G34" s="56">
        <v>0</v>
      </c>
      <c r="H34" s="56">
        <v>0</v>
      </c>
      <c r="I34" s="56">
        <v>0</v>
      </c>
      <c r="J34" s="56">
        <v>0</v>
      </c>
      <c r="K34" s="56">
        <v>0</v>
      </c>
      <c r="L34" s="56">
        <v>0</v>
      </c>
      <c r="M34" s="56">
        <v>0</v>
      </c>
      <c r="N34" s="56">
        <v>0</v>
      </c>
      <c r="O34" s="56">
        <v>0</v>
      </c>
      <c r="P34" s="57">
        <v>0</v>
      </c>
      <c r="Q34" s="99">
        <v>0</v>
      </c>
      <c r="R34" s="71">
        <f>0.125*R7</f>
        <v>1139436.2298621673</v>
      </c>
      <c r="S34" s="72">
        <f>0.125*S7</f>
        <v>1152924.8398323935</v>
      </c>
      <c r="T34" s="72">
        <f>0.125*T7</f>
        <v>1166413.4498026194</v>
      </c>
      <c r="U34" s="72">
        <f>0.125*U7</f>
        <v>1179902.0597728458</v>
      </c>
      <c r="V34" s="73">
        <f>0.125*V7</f>
        <v>1193390.669743072</v>
      </c>
      <c r="W34" s="9"/>
      <c r="X34" s="10"/>
      <c r="Y34" s="96"/>
    </row>
    <row r="35" spans="1:25" x14ac:dyDescent="0.45">
      <c r="A35" s="133" t="s">
        <v>57</v>
      </c>
      <c r="B35" s="56"/>
      <c r="C35" s="55">
        <v>0</v>
      </c>
      <c r="D35" s="56">
        <v>0</v>
      </c>
      <c r="E35" s="56">
        <v>0</v>
      </c>
      <c r="F35" s="56">
        <v>0</v>
      </c>
      <c r="G35" s="56">
        <v>0</v>
      </c>
      <c r="H35" s="56">
        <v>0</v>
      </c>
      <c r="I35" s="56">
        <v>0</v>
      </c>
      <c r="J35" s="56">
        <v>0</v>
      </c>
      <c r="K35" s="56">
        <v>0</v>
      </c>
      <c r="L35" s="56">
        <v>0</v>
      </c>
      <c r="M35" s="56">
        <v>0</v>
      </c>
      <c r="N35" s="56">
        <v>0</v>
      </c>
      <c r="O35" s="56">
        <v>0</v>
      </c>
      <c r="P35" s="57">
        <v>0</v>
      </c>
      <c r="Q35" s="99">
        <v>0</v>
      </c>
      <c r="R35" s="71">
        <f>0.1*R7</f>
        <v>911548.98388973391</v>
      </c>
      <c r="S35" s="72">
        <f>0.1*S7</f>
        <v>922339.87186591479</v>
      </c>
      <c r="T35" s="72">
        <f>0.1*T7</f>
        <v>933130.75984209555</v>
      </c>
      <c r="U35" s="72">
        <f>0.1*U7</f>
        <v>943921.64781827666</v>
      </c>
      <c r="V35" s="73">
        <f>0.1*V7</f>
        <v>954712.53579445765</v>
      </c>
      <c r="W35" s="9"/>
      <c r="X35" s="10"/>
      <c r="Y35" s="96"/>
    </row>
    <row r="36" spans="1:25" x14ac:dyDescent="0.45">
      <c r="A36" s="133" t="s">
        <v>58</v>
      </c>
      <c r="B36" s="56"/>
      <c r="C36" s="55">
        <v>0</v>
      </c>
      <c r="D36" s="56">
        <v>0</v>
      </c>
      <c r="E36" s="56">
        <v>0</v>
      </c>
      <c r="F36" s="56">
        <v>0</v>
      </c>
      <c r="G36" s="56">
        <v>0</v>
      </c>
      <c r="H36" s="56">
        <v>0</v>
      </c>
      <c r="I36" s="56">
        <v>0</v>
      </c>
      <c r="J36" s="56">
        <v>0</v>
      </c>
      <c r="K36" s="56">
        <v>0</v>
      </c>
      <c r="L36" s="56">
        <v>0</v>
      </c>
      <c r="M36" s="56">
        <v>0</v>
      </c>
      <c r="N36" s="56">
        <v>0</v>
      </c>
      <c r="O36" s="56">
        <v>0</v>
      </c>
      <c r="P36" s="57">
        <v>0</v>
      </c>
      <c r="Q36" s="99">
        <v>0</v>
      </c>
      <c r="R36" s="71">
        <f>0.075*R7</f>
        <v>683661.73791730031</v>
      </c>
      <c r="S36" s="72">
        <f>0.075*S7</f>
        <v>691754.903899436</v>
      </c>
      <c r="T36" s="72">
        <f>0.075*T7</f>
        <v>699848.06988157157</v>
      </c>
      <c r="U36" s="72">
        <f>0.075*U7</f>
        <v>707941.23586370749</v>
      </c>
      <c r="V36" s="73">
        <f>0.075*V7</f>
        <v>716034.40184584318</v>
      </c>
      <c r="W36" s="9"/>
      <c r="X36" s="10"/>
      <c r="Y36" s="96"/>
    </row>
    <row r="37" spans="1:25" x14ac:dyDescent="0.45">
      <c r="A37" s="35" t="s">
        <v>59</v>
      </c>
      <c r="B37" s="37">
        <v>0</v>
      </c>
      <c r="C37" s="45">
        <f t="shared" ref="C37:V37" si="12">C13*C21</f>
        <v>0</v>
      </c>
      <c r="D37" s="37">
        <f t="shared" si="12"/>
        <v>0</v>
      </c>
      <c r="E37" s="37">
        <f t="shared" si="12"/>
        <v>0</v>
      </c>
      <c r="F37" s="37">
        <f t="shared" si="12"/>
        <v>0</v>
      </c>
      <c r="G37" s="37">
        <f t="shared" si="12"/>
        <v>0</v>
      </c>
      <c r="H37" s="37">
        <f t="shared" si="12"/>
        <v>0</v>
      </c>
      <c r="I37" s="37">
        <f t="shared" si="12"/>
        <v>0</v>
      </c>
      <c r="J37" s="37">
        <f t="shared" si="12"/>
        <v>0</v>
      </c>
      <c r="K37" s="37">
        <f t="shared" si="12"/>
        <v>0</v>
      </c>
      <c r="L37" s="37">
        <f t="shared" si="12"/>
        <v>0</v>
      </c>
      <c r="M37" s="37">
        <f t="shared" si="12"/>
        <v>0</v>
      </c>
      <c r="N37" s="37">
        <f t="shared" si="12"/>
        <v>0</v>
      </c>
      <c r="O37" s="37">
        <f t="shared" si="12"/>
        <v>0</v>
      </c>
      <c r="P37" s="61">
        <f t="shared" si="12"/>
        <v>0</v>
      </c>
      <c r="Q37" s="101">
        <f t="shared" si="12"/>
        <v>0</v>
      </c>
      <c r="R37" s="45">
        <f>R13*R21</f>
        <v>18506476.940619778</v>
      </c>
      <c r="S37" s="37">
        <f t="shared" si="12"/>
        <v>22112539.596611276</v>
      </c>
      <c r="T37" s="37">
        <f t="shared" si="12"/>
        <v>22761801.081656218</v>
      </c>
      <c r="U37" s="37">
        <f t="shared" si="12"/>
        <v>23476918.02811018</v>
      </c>
      <c r="V37" s="61">
        <f t="shared" si="12"/>
        <v>24265830.33682223</v>
      </c>
      <c r="W37" s="9"/>
      <c r="X37" s="10"/>
      <c r="Y37" s="96"/>
    </row>
    <row r="38" spans="1:25" ht="14.65" thickBot="1" x14ac:dyDescent="0.5">
      <c r="A38" s="11" t="s">
        <v>9</v>
      </c>
      <c r="B38" s="12"/>
      <c r="C38" s="47">
        <f>IF(C21&lt;&gt;0,C37/C21,0)</f>
        <v>0</v>
      </c>
      <c r="D38" s="38">
        <f t="shared" ref="D38:V38" si="13">IF(D21&lt;&gt;0,D37/D21,0)</f>
        <v>0</v>
      </c>
      <c r="E38" s="38">
        <f t="shared" si="13"/>
        <v>0</v>
      </c>
      <c r="F38" s="38">
        <f t="shared" si="13"/>
        <v>0</v>
      </c>
      <c r="G38" s="53">
        <f t="shared" si="13"/>
        <v>0</v>
      </c>
      <c r="H38" s="38">
        <f t="shared" si="13"/>
        <v>0</v>
      </c>
      <c r="I38" s="38">
        <f t="shared" si="13"/>
        <v>0</v>
      </c>
      <c r="J38" s="38">
        <f t="shared" si="13"/>
        <v>0</v>
      </c>
      <c r="K38" s="38">
        <f t="shared" si="13"/>
        <v>0</v>
      </c>
      <c r="L38" s="38">
        <f t="shared" si="13"/>
        <v>0</v>
      </c>
      <c r="M38" s="38">
        <f t="shared" si="13"/>
        <v>0</v>
      </c>
      <c r="N38" s="38">
        <f t="shared" si="13"/>
        <v>0</v>
      </c>
      <c r="O38" s="38">
        <f t="shared" si="13"/>
        <v>0</v>
      </c>
      <c r="P38" s="48">
        <f t="shared" si="13"/>
        <v>0</v>
      </c>
      <c r="Q38" s="95">
        <f t="shared" si="13"/>
        <v>0</v>
      </c>
      <c r="R38" s="47">
        <f t="shared" si="13"/>
        <v>0.69369476604036417</v>
      </c>
      <c r="S38" s="38">
        <f t="shared" si="13"/>
        <v>0.68934123813033377</v>
      </c>
      <c r="T38" s="38">
        <f t="shared" si="13"/>
        <v>0.68506484222209962</v>
      </c>
      <c r="U38" s="38">
        <f t="shared" si="13"/>
        <v>0.68086354647874503</v>
      </c>
      <c r="V38" s="48">
        <f t="shared" si="13"/>
        <v>0.6767353898066063</v>
      </c>
      <c r="W38" s="11"/>
      <c r="X38" s="13"/>
      <c r="Y38" s="16"/>
    </row>
    <row r="39" spans="1:25" ht="14.65" thickBot="1" x14ac:dyDescent="0.5">
      <c r="C39" s="9"/>
      <c r="G39" s="149"/>
      <c r="P39" s="10"/>
      <c r="Q39" s="96"/>
      <c r="R39" s="9"/>
      <c r="V39" s="10"/>
      <c r="W39" s="9"/>
      <c r="X39" s="10"/>
      <c r="Y39" s="96"/>
    </row>
    <row r="40" spans="1:25" x14ac:dyDescent="0.45">
      <c r="A40" s="23" t="s">
        <v>39</v>
      </c>
      <c r="B40" s="7"/>
      <c r="C40" s="6"/>
      <c r="D40" s="7"/>
      <c r="E40" s="7"/>
      <c r="F40" s="7"/>
      <c r="H40" s="7"/>
      <c r="I40" s="7"/>
      <c r="J40" s="7"/>
      <c r="K40" s="7"/>
      <c r="L40" s="7"/>
      <c r="M40" s="7"/>
      <c r="N40" s="7"/>
      <c r="O40" s="7"/>
      <c r="P40" s="8"/>
      <c r="Q40" s="15"/>
      <c r="R40" s="6"/>
      <c r="S40" s="7"/>
      <c r="T40" s="7"/>
      <c r="U40" s="7"/>
      <c r="V40" s="8"/>
      <c r="W40" s="6"/>
      <c r="X40" s="8"/>
      <c r="Y40" s="15"/>
    </row>
    <row r="41" spans="1:25" x14ac:dyDescent="0.45">
      <c r="A41" s="24" t="s">
        <v>71</v>
      </c>
      <c r="B41" s="25"/>
      <c r="C41" s="39">
        <f>C42+C47</f>
        <v>0</v>
      </c>
      <c r="D41" s="26">
        <f t="shared" ref="D41:V41" si="14">D42+D47</f>
        <v>0</v>
      </c>
      <c r="E41" s="26">
        <f t="shared" si="14"/>
        <v>0</v>
      </c>
      <c r="F41" s="26">
        <f t="shared" si="14"/>
        <v>0</v>
      </c>
      <c r="G41" s="26">
        <f t="shared" si="14"/>
        <v>0</v>
      </c>
      <c r="H41" s="26">
        <f t="shared" si="14"/>
        <v>0</v>
      </c>
      <c r="I41" s="26">
        <f t="shared" si="14"/>
        <v>0</v>
      </c>
      <c r="J41" s="26">
        <f t="shared" si="14"/>
        <v>0</v>
      </c>
      <c r="K41" s="26">
        <f t="shared" si="14"/>
        <v>0</v>
      </c>
      <c r="L41" s="26">
        <f t="shared" si="14"/>
        <v>0</v>
      </c>
      <c r="M41" s="26">
        <f t="shared" si="14"/>
        <v>0</v>
      </c>
      <c r="N41" s="26">
        <f t="shared" si="14"/>
        <v>0</v>
      </c>
      <c r="O41" s="26">
        <f t="shared" si="14"/>
        <v>0</v>
      </c>
      <c r="P41" s="40">
        <f t="shared" si="14"/>
        <v>0</v>
      </c>
      <c r="Q41" s="91">
        <f t="shared" si="14"/>
        <v>0</v>
      </c>
      <c r="R41" s="39">
        <f>R42+R47</f>
        <v>8007322.6026292657</v>
      </c>
      <c r="S41" s="26">
        <f t="shared" si="14"/>
        <v>8074967.4242662434</v>
      </c>
      <c r="T41" s="26">
        <f t="shared" si="14"/>
        <v>8142491.3414904019</v>
      </c>
      <c r="U41" s="26">
        <f t="shared" si="14"/>
        <v>8209897.5392061155</v>
      </c>
      <c r="V41" s="40">
        <f t="shared" si="14"/>
        <v>7652729.987816155</v>
      </c>
      <c r="W41" s="118">
        <f>IF(C41&lt;&gt;0,((P41/C41)^(1/13))-1, 0)</f>
        <v>0</v>
      </c>
      <c r="X41" s="119">
        <f>((V41/R41)^(1/4))-1</f>
        <v>-1.1259631223852651E-2</v>
      </c>
      <c r="Y41" s="96"/>
    </row>
    <row r="42" spans="1:25" x14ac:dyDescent="0.45">
      <c r="A42" s="120" t="s">
        <v>73</v>
      </c>
      <c r="B42" s="3"/>
      <c r="C42" s="62">
        <f>SUM(C43:C46)</f>
        <v>0</v>
      </c>
      <c r="D42" s="63">
        <f t="shared" ref="D42:V42" si="15">SUM(D43:D46)</f>
        <v>0</v>
      </c>
      <c r="E42" s="63">
        <f t="shared" si="15"/>
        <v>0</v>
      </c>
      <c r="F42" s="63">
        <f t="shared" si="15"/>
        <v>0</v>
      </c>
      <c r="G42" s="63">
        <f t="shared" si="15"/>
        <v>0</v>
      </c>
      <c r="H42" s="63">
        <f t="shared" si="15"/>
        <v>0</v>
      </c>
      <c r="I42" s="63">
        <f t="shared" si="15"/>
        <v>0</v>
      </c>
      <c r="J42" s="63">
        <f t="shared" si="15"/>
        <v>0</v>
      </c>
      <c r="K42" s="63">
        <f t="shared" si="15"/>
        <v>0</v>
      </c>
      <c r="L42" s="63">
        <f t="shared" si="15"/>
        <v>0</v>
      </c>
      <c r="M42" s="63">
        <f t="shared" si="15"/>
        <v>0</v>
      </c>
      <c r="N42" s="63">
        <f t="shared" si="15"/>
        <v>0</v>
      </c>
      <c r="O42" s="63">
        <f t="shared" si="15"/>
        <v>0</v>
      </c>
      <c r="P42" s="64">
        <f t="shared" si="15"/>
        <v>0</v>
      </c>
      <c r="Q42" s="102">
        <f t="shared" si="15"/>
        <v>0</v>
      </c>
      <c r="R42" s="62">
        <f t="shared" si="15"/>
        <v>3999320.4698966425</v>
      </c>
      <c r="S42" s="63">
        <f t="shared" si="15"/>
        <v>4038633.4340957901</v>
      </c>
      <c r="T42" s="63">
        <f t="shared" si="15"/>
        <v>4077902.4330539126</v>
      </c>
      <c r="U42" s="63">
        <f t="shared" si="15"/>
        <v>4117128.6249180557</v>
      </c>
      <c r="V42" s="64">
        <f t="shared" si="15"/>
        <v>3531854.0239000628</v>
      </c>
      <c r="W42" s="9"/>
      <c r="X42" s="10"/>
      <c r="Y42" s="96"/>
    </row>
    <row r="43" spans="1:25" x14ac:dyDescent="0.45">
      <c r="A43" s="133" t="s">
        <v>67</v>
      </c>
      <c r="B43" s="135"/>
      <c r="C43" s="65">
        <v>0</v>
      </c>
      <c r="D43" s="66">
        <v>0</v>
      </c>
      <c r="E43" s="66">
        <v>0</v>
      </c>
      <c r="F43" s="66">
        <v>0</v>
      </c>
      <c r="G43" s="66">
        <v>0</v>
      </c>
      <c r="H43" s="66">
        <v>0</v>
      </c>
      <c r="I43" s="66">
        <v>0</v>
      </c>
      <c r="J43" s="66">
        <v>0</v>
      </c>
      <c r="K43" s="66">
        <v>0</v>
      </c>
      <c r="L43" s="66">
        <v>0</v>
      </c>
      <c r="M43" s="66">
        <v>0</v>
      </c>
      <c r="N43" s="66">
        <v>0</v>
      </c>
      <c r="O43" s="66">
        <v>0</v>
      </c>
      <c r="P43" s="67">
        <v>0</v>
      </c>
      <c r="Q43" s="103">
        <v>0</v>
      </c>
      <c r="R43" s="65">
        <f>0.15*R7</f>
        <v>1367323.4758346006</v>
      </c>
      <c r="S43" s="65">
        <f t="shared" ref="S43:V43" si="16">0.15*S7</f>
        <v>1383509.807798872</v>
      </c>
      <c r="T43" s="65">
        <f t="shared" si="16"/>
        <v>1399696.1397631431</v>
      </c>
      <c r="U43" s="65">
        <f t="shared" si="16"/>
        <v>1415882.471727415</v>
      </c>
      <c r="V43" s="65">
        <f t="shared" si="16"/>
        <v>1432068.8036916864</v>
      </c>
      <c r="W43" s="9"/>
      <c r="X43" s="10"/>
      <c r="Y43" s="96" t="s">
        <v>78</v>
      </c>
    </row>
    <row r="44" spans="1:25" x14ac:dyDescent="0.45">
      <c r="A44" s="133" t="s">
        <v>68</v>
      </c>
      <c r="B44" s="135"/>
      <c r="C44" s="65">
        <v>0</v>
      </c>
      <c r="D44" s="66">
        <v>0</v>
      </c>
      <c r="E44" s="66">
        <v>0</v>
      </c>
      <c r="F44" s="66">
        <v>0</v>
      </c>
      <c r="G44" s="66">
        <v>0</v>
      </c>
      <c r="H44" s="66">
        <v>0</v>
      </c>
      <c r="I44" s="66">
        <v>0</v>
      </c>
      <c r="J44" s="66">
        <v>0</v>
      </c>
      <c r="K44" s="66">
        <v>0</v>
      </c>
      <c r="L44" s="66">
        <v>0</v>
      </c>
      <c r="M44" s="66">
        <v>0</v>
      </c>
      <c r="N44" s="66">
        <v>0</v>
      </c>
      <c r="O44" s="66">
        <v>0</v>
      </c>
      <c r="P44" s="67">
        <v>0</v>
      </c>
      <c r="Q44" s="103">
        <v>0</v>
      </c>
      <c r="R44" s="65">
        <f>0.15*R7</f>
        <v>1367323.4758346006</v>
      </c>
      <c r="S44" s="65">
        <f t="shared" ref="S44:U44" si="17">0.15*S7</f>
        <v>1383509.807798872</v>
      </c>
      <c r="T44" s="65">
        <f t="shared" si="17"/>
        <v>1399696.1397631431</v>
      </c>
      <c r="U44" s="65">
        <f t="shared" si="17"/>
        <v>1415882.471727415</v>
      </c>
      <c r="V44" s="67">
        <f>0.125*V13*V7</f>
        <v>807609.7000801448</v>
      </c>
      <c r="W44" s="9"/>
      <c r="X44" s="10"/>
      <c r="Y44" s="96" t="s">
        <v>79</v>
      </c>
    </row>
    <row r="45" spans="1:25" x14ac:dyDescent="0.45">
      <c r="A45" s="133" t="s">
        <v>69</v>
      </c>
      <c r="B45" s="135"/>
      <c r="C45" s="65">
        <v>0</v>
      </c>
      <c r="D45" s="66">
        <v>0</v>
      </c>
      <c r="E45" s="66">
        <v>0</v>
      </c>
      <c r="F45" s="66">
        <v>0</v>
      </c>
      <c r="G45" s="66">
        <v>0</v>
      </c>
      <c r="H45" s="66">
        <v>0</v>
      </c>
      <c r="I45" s="66">
        <v>0</v>
      </c>
      <c r="J45" s="66">
        <v>0</v>
      </c>
      <c r="K45" s="66">
        <v>0</v>
      </c>
      <c r="L45" s="66">
        <v>0</v>
      </c>
      <c r="M45" s="66">
        <v>0</v>
      </c>
      <c r="N45" s="66">
        <v>0</v>
      </c>
      <c r="O45" s="66">
        <v>0</v>
      </c>
      <c r="P45" s="67">
        <v>0</v>
      </c>
      <c r="Q45" s="103">
        <v>0</v>
      </c>
      <c r="R45" s="65">
        <f>0.1*R13*R7</f>
        <v>632336.75911372073</v>
      </c>
      <c r="S45" s="65">
        <f t="shared" ref="S45:V45" si="18">0.1*S13*S7</f>
        <v>635806.90924902307</v>
      </c>
      <c r="T45" s="65">
        <f t="shared" si="18"/>
        <v>639255.07676381315</v>
      </c>
      <c r="U45" s="65">
        <f t="shared" si="18"/>
        <v>642681.84073161287</v>
      </c>
      <c r="V45" s="65">
        <f t="shared" si="18"/>
        <v>646087.76006411586</v>
      </c>
      <c r="W45" s="9"/>
      <c r="X45" s="10"/>
      <c r="Y45" s="96" t="s">
        <v>80</v>
      </c>
    </row>
    <row r="46" spans="1:25" x14ac:dyDescent="0.45">
      <c r="A46" s="133" t="s">
        <v>70</v>
      </c>
      <c r="B46" s="135"/>
      <c r="C46" s="65">
        <v>0</v>
      </c>
      <c r="D46" s="66">
        <v>0</v>
      </c>
      <c r="E46" s="66">
        <v>0</v>
      </c>
      <c r="F46" s="66">
        <v>0</v>
      </c>
      <c r="G46" s="66">
        <v>0</v>
      </c>
      <c r="H46" s="66">
        <v>0</v>
      </c>
      <c r="I46" s="66">
        <v>0</v>
      </c>
      <c r="J46" s="66">
        <v>0</v>
      </c>
      <c r="K46" s="66">
        <v>0</v>
      </c>
      <c r="L46" s="66">
        <v>0</v>
      </c>
      <c r="M46" s="66">
        <v>0</v>
      </c>
      <c r="N46" s="66">
        <v>0</v>
      </c>
      <c r="O46" s="66">
        <v>0</v>
      </c>
      <c r="P46" s="67">
        <v>0</v>
      </c>
      <c r="Q46" s="103">
        <v>0</v>
      </c>
      <c r="R46" s="65">
        <f>0.1*R13*R7</f>
        <v>632336.75911372073</v>
      </c>
      <c r="S46" s="65">
        <f t="shared" ref="S46:V46" si="19">0.1*S13*S7</f>
        <v>635806.90924902307</v>
      </c>
      <c r="T46" s="65">
        <f t="shared" si="19"/>
        <v>639255.07676381315</v>
      </c>
      <c r="U46" s="65">
        <f t="shared" si="19"/>
        <v>642681.84073161287</v>
      </c>
      <c r="V46" s="65">
        <f t="shared" si="19"/>
        <v>646087.76006411586</v>
      </c>
      <c r="W46" s="9"/>
      <c r="X46" s="10"/>
      <c r="Y46" s="96" t="s">
        <v>80</v>
      </c>
    </row>
    <row r="47" spans="1:25" s="3" customFormat="1" x14ac:dyDescent="0.45">
      <c r="A47" s="136" t="s">
        <v>74</v>
      </c>
      <c r="B47" s="137"/>
      <c r="C47" s="68">
        <f t="shared" ref="C47:V47" si="20">SUM(C48:C50)</f>
        <v>0</v>
      </c>
      <c r="D47" s="69">
        <f t="shared" si="20"/>
        <v>0</v>
      </c>
      <c r="E47" s="69">
        <f t="shared" si="20"/>
        <v>0</v>
      </c>
      <c r="F47" s="69">
        <f t="shared" si="20"/>
        <v>0</v>
      </c>
      <c r="G47" s="69">
        <f t="shared" si="20"/>
        <v>0</v>
      </c>
      <c r="H47" s="69">
        <f t="shared" si="20"/>
        <v>0</v>
      </c>
      <c r="I47" s="69">
        <f t="shared" si="20"/>
        <v>0</v>
      </c>
      <c r="J47" s="69">
        <f t="shared" si="20"/>
        <v>0</v>
      </c>
      <c r="K47" s="69">
        <f t="shared" si="20"/>
        <v>0</v>
      </c>
      <c r="L47" s="69">
        <f t="shared" si="20"/>
        <v>0</v>
      </c>
      <c r="M47" s="69">
        <f t="shared" si="20"/>
        <v>0</v>
      </c>
      <c r="N47" s="69">
        <f t="shared" si="20"/>
        <v>0</v>
      </c>
      <c r="O47" s="69">
        <f t="shared" si="20"/>
        <v>0</v>
      </c>
      <c r="P47" s="70">
        <f t="shared" si="20"/>
        <v>0</v>
      </c>
      <c r="Q47" s="104">
        <f t="shared" si="20"/>
        <v>0</v>
      </c>
      <c r="R47" s="68">
        <f t="shared" si="20"/>
        <v>4008002.1327326233</v>
      </c>
      <c r="S47" s="69">
        <f t="shared" si="20"/>
        <v>4036333.9901704527</v>
      </c>
      <c r="T47" s="69">
        <f t="shared" si="20"/>
        <v>4064588.9084364893</v>
      </c>
      <c r="U47" s="69">
        <f t="shared" si="20"/>
        <v>4092768.9142880598</v>
      </c>
      <c r="V47" s="70">
        <f t="shared" si="20"/>
        <v>4120875.9639160922</v>
      </c>
      <c r="W47" s="120"/>
      <c r="X47" s="121"/>
      <c r="Y47" s="123"/>
    </row>
    <row r="48" spans="1:25" x14ac:dyDescent="0.45">
      <c r="A48" s="133" t="s">
        <v>75</v>
      </c>
      <c r="B48" s="135"/>
      <c r="C48" s="65">
        <v>0</v>
      </c>
      <c r="D48" s="66">
        <v>0</v>
      </c>
      <c r="E48" s="66">
        <v>0</v>
      </c>
      <c r="F48" s="66">
        <v>0</v>
      </c>
      <c r="G48" s="66">
        <v>0</v>
      </c>
      <c r="H48" s="66">
        <v>0</v>
      </c>
      <c r="I48" s="66">
        <v>0</v>
      </c>
      <c r="J48" s="66">
        <v>0</v>
      </c>
      <c r="K48" s="66">
        <v>0</v>
      </c>
      <c r="L48" s="66">
        <v>0</v>
      </c>
      <c r="M48" s="66">
        <v>0</v>
      </c>
      <c r="N48" s="66">
        <v>0</v>
      </c>
      <c r="O48" s="66">
        <v>0</v>
      </c>
      <c r="P48" s="67">
        <v>0</v>
      </c>
      <c r="Q48" s="103">
        <v>0</v>
      </c>
      <c r="R48" s="65">
        <f>0.2*R13*R7</f>
        <v>1264673.5182274415</v>
      </c>
      <c r="S48" s="65">
        <f t="shared" ref="S48:V48" si="21">0.2*S13*S7</f>
        <v>1271613.8184980461</v>
      </c>
      <c r="T48" s="65">
        <f t="shared" si="21"/>
        <v>1278510.1535276263</v>
      </c>
      <c r="U48" s="65">
        <f t="shared" si="21"/>
        <v>1285363.6814632257</v>
      </c>
      <c r="V48" s="65">
        <f t="shared" si="21"/>
        <v>1292175.5201282317</v>
      </c>
      <c r="W48" s="9"/>
      <c r="X48" s="10"/>
      <c r="Y48" s="96" t="s">
        <v>81</v>
      </c>
    </row>
    <row r="49" spans="1:25" x14ac:dyDescent="0.45">
      <c r="A49" s="133" t="s">
        <v>76</v>
      </c>
      <c r="B49" s="135"/>
      <c r="C49" s="65">
        <v>0</v>
      </c>
      <c r="D49" s="66">
        <v>0</v>
      </c>
      <c r="E49" s="66">
        <v>0</v>
      </c>
      <c r="F49" s="66">
        <v>0</v>
      </c>
      <c r="G49" s="66">
        <v>0</v>
      </c>
      <c r="H49" s="66">
        <v>0</v>
      </c>
      <c r="I49" s="66">
        <v>0</v>
      </c>
      <c r="J49" s="66">
        <v>0</v>
      </c>
      <c r="K49" s="66">
        <v>0</v>
      </c>
      <c r="L49" s="66">
        <v>0</v>
      </c>
      <c r="M49" s="66">
        <v>0</v>
      </c>
      <c r="N49" s="66">
        <v>0</v>
      </c>
      <c r="O49" s="66">
        <v>0</v>
      </c>
      <c r="P49" s="67">
        <v>0</v>
      </c>
      <c r="Q49" s="103">
        <v>0</v>
      </c>
      <c r="R49" s="65">
        <f>0.15*R13*R7</f>
        <v>948505.13867058104</v>
      </c>
      <c r="S49" s="65">
        <f t="shared" ref="S49:V49" si="22">0.15*S13*S7</f>
        <v>953710.3638735346</v>
      </c>
      <c r="T49" s="65">
        <f t="shared" si="22"/>
        <v>958882.61514571961</v>
      </c>
      <c r="U49" s="65">
        <f t="shared" si="22"/>
        <v>964022.76109741919</v>
      </c>
      <c r="V49" s="65">
        <f t="shared" si="22"/>
        <v>969131.64009617374</v>
      </c>
      <c r="W49" s="9"/>
      <c r="X49" s="10"/>
      <c r="Y49" s="96" t="s">
        <v>82</v>
      </c>
    </row>
    <row r="50" spans="1:25" x14ac:dyDescent="0.45">
      <c r="A50" s="133" t="s">
        <v>77</v>
      </c>
      <c r="B50" s="135"/>
      <c r="C50" s="65">
        <v>0</v>
      </c>
      <c r="D50" s="66">
        <v>0</v>
      </c>
      <c r="E50" s="66">
        <v>0</v>
      </c>
      <c r="F50" s="66">
        <v>0</v>
      </c>
      <c r="G50" s="66">
        <v>0</v>
      </c>
      <c r="H50" s="66">
        <v>0</v>
      </c>
      <c r="I50" s="66">
        <v>0</v>
      </c>
      <c r="J50" s="66">
        <v>0</v>
      </c>
      <c r="K50" s="66">
        <v>0</v>
      </c>
      <c r="L50" s="66">
        <v>0</v>
      </c>
      <c r="M50" s="66">
        <v>0</v>
      </c>
      <c r="N50" s="66">
        <v>0</v>
      </c>
      <c r="O50" s="66">
        <v>0</v>
      </c>
      <c r="P50" s="67">
        <v>0</v>
      </c>
      <c r="Q50" s="103">
        <v>0</v>
      </c>
      <c r="R50" s="65">
        <f>0.15*R6</f>
        <v>1794823.4758346006</v>
      </c>
      <c r="S50" s="65">
        <f t="shared" ref="S50:V50" si="23">0.15*S6</f>
        <v>1811009.807798872</v>
      </c>
      <c r="T50" s="65">
        <f t="shared" si="23"/>
        <v>1827196.1397631431</v>
      </c>
      <c r="U50" s="65">
        <f t="shared" si="23"/>
        <v>1843382.471727415</v>
      </c>
      <c r="V50" s="65">
        <f t="shared" si="23"/>
        <v>1859568.8036916864</v>
      </c>
      <c r="W50" s="9"/>
      <c r="X50" s="10"/>
      <c r="Y50" s="96" t="s">
        <v>83</v>
      </c>
    </row>
    <row r="51" spans="1:25" x14ac:dyDescent="0.45">
      <c r="A51" s="35" t="s">
        <v>72</v>
      </c>
      <c r="B51" s="37">
        <v>0</v>
      </c>
      <c r="C51" s="45">
        <f t="shared" ref="C51:Q51" si="24">C13*C37</f>
        <v>0</v>
      </c>
      <c r="D51" s="37">
        <f t="shared" si="24"/>
        <v>0</v>
      </c>
      <c r="E51" s="37">
        <f t="shared" si="24"/>
        <v>0</v>
      </c>
      <c r="F51" s="37">
        <f t="shared" si="24"/>
        <v>0</v>
      </c>
      <c r="G51" s="37">
        <f t="shared" si="24"/>
        <v>0</v>
      </c>
      <c r="H51" s="37">
        <f t="shared" si="24"/>
        <v>0</v>
      </c>
      <c r="I51" s="37">
        <f t="shared" si="24"/>
        <v>0</v>
      </c>
      <c r="J51" s="37">
        <f t="shared" si="24"/>
        <v>0</v>
      </c>
      <c r="K51" s="37">
        <f t="shared" si="24"/>
        <v>0</v>
      </c>
      <c r="L51" s="37">
        <f t="shared" si="24"/>
        <v>0</v>
      </c>
      <c r="M51" s="37">
        <f t="shared" si="24"/>
        <v>0</v>
      </c>
      <c r="N51" s="37">
        <f t="shared" si="24"/>
        <v>0</v>
      </c>
      <c r="O51" s="37">
        <f t="shared" si="24"/>
        <v>0</v>
      </c>
      <c r="P51" s="61">
        <f t="shared" si="24"/>
        <v>0</v>
      </c>
      <c r="Q51" s="101">
        <f t="shared" si="24"/>
        <v>0</v>
      </c>
      <c r="R51" s="45">
        <f>R13*R41</f>
        <v>5554637.7794406293</v>
      </c>
      <c r="S51" s="45">
        <f t="shared" ref="S51:V51" si="25">S13*S41</f>
        <v>5566408.0421058042</v>
      </c>
      <c r="T51" s="45">
        <f t="shared" si="25"/>
        <v>5578134.5461529344</v>
      </c>
      <c r="U51" s="45">
        <f t="shared" si="25"/>
        <v>5589819.9547709972</v>
      </c>
      <c r="V51" s="45">
        <f t="shared" si="25"/>
        <v>5178873.2113894708</v>
      </c>
      <c r="W51" s="9"/>
      <c r="X51" s="10"/>
      <c r="Y51" s="96"/>
    </row>
    <row r="52" spans="1:25" ht="14.65" thickBot="1" x14ac:dyDescent="0.5">
      <c r="A52" s="11" t="s">
        <v>9</v>
      </c>
      <c r="B52" s="12"/>
      <c r="C52" s="47">
        <f t="shared" ref="C52:V52" si="26">IF(C41&lt;&gt;0,C51/C41, 0)</f>
        <v>0</v>
      </c>
      <c r="D52" s="38">
        <f t="shared" si="26"/>
        <v>0</v>
      </c>
      <c r="E52" s="38">
        <f t="shared" si="26"/>
        <v>0</v>
      </c>
      <c r="F52" s="38">
        <f t="shared" si="26"/>
        <v>0</v>
      </c>
      <c r="G52" s="53">
        <f t="shared" si="26"/>
        <v>0</v>
      </c>
      <c r="H52" s="38">
        <f t="shared" si="26"/>
        <v>0</v>
      </c>
      <c r="I52" s="38">
        <f t="shared" si="26"/>
        <v>0</v>
      </c>
      <c r="J52" s="38">
        <f t="shared" si="26"/>
        <v>0</v>
      </c>
      <c r="K52" s="38">
        <f t="shared" si="26"/>
        <v>0</v>
      </c>
      <c r="L52" s="38">
        <f t="shared" si="26"/>
        <v>0</v>
      </c>
      <c r="M52" s="38">
        <f t="shared" si="26"/>
        <v>0</v>
      </c>
      <c r="N52" s="38">
        <f t="shared" si="26"/>
        <v>0</v>
      </c>
      <c r="O52" s="38">
        <f t="shared" si="26"/>
        <v>0</v>
      </c>
      <c r="P52" s="48">
        <f t="shared" si="26"/>
        <v>0</v>
      </c>
      <c r="Q52" s="95">
        <f t="shared" si="26"/>
        <v>0</v>
      </c>
      <c r="R52" s="47">
        <f t="shared" si="26"/>
        <v>0.69369476604036429</v>
      </c>
      <c r="S52" s="38">
        <f t="shared" si="26"/>
        <v>0.68934123813033377</v>
      </c>
      <c r="T52" s="38">
        <f t="shared" si="26"/>
        <v>0.68506484222209962</v>
      </c>
      <c r="U52" s="38">
        <f t="shared" si="26"/>
        <v>0.68086354647874503</v>
      </c>
      <c r="V52" s="48">
        <f t="shared" si="26"/>
        <v>0.6767353898066063</v>
      </c>
      <c r="W52" s="11"/>
      <c r="X52" s="13"/>
      <c r="Y52" s="16"/>
    </row>
    <row r="53" spans="1:25" ht="14.65" thickBot="1" x14ac:dyDescent="0.5">
      <c r="C53" s="9"/>
      <c r="G53" s="149"/>
      <c r="P53" s="10"/>
      <c r="Q53" s="96"/>
      <c r="R53" s="9"/>
      <c r="V53" s="10"/>
      <c r="W53" s="9"/>
      <c r="X53" s="10"/>
      <c r="Y53" s="96"/>
    </row>
    <row r="54" spans="1:25" x14ac:dyDescent="0.45">
      <c r="A54" s="23" t="s">
        <v>40</v>
      </c>
      <c r="B54" s="7"/>
      <c r="C54" s="6"/>
      <c r="D54" s="7"/>
      <c r="E54" s="7"/>
      <c r="F54" s="7"/>
      <c r="H54" s="7"/>
      <c r="I54" s="7"/>
      <c r="J54" s="7"/>
      <c r="K54" s="7"/>
      <c r="L54" s="7"/>
      <c r="M54" s="7"/>
      <c r="N54" s="7"/>
      <c r="O54" s="7"/>
      <c r="P54" s="8"/>
      <c r="Q54" s="15"/>
      <c r="R54" s="6"/>
      <c r="S54" s="7"/>
      <c r="T54" s="7"/>
      <c r="U54" s="7"/>
      <c r="V54" s="8"/>
      <c r="W54" s="6"/>
      <c r="X54" s="8"/>
      <c r="Y54" s="15"/>
    </row>
    <row r="55" spans="1:25" s="3" customFormat="1" x14ac:dyDescent="0.45">
      <c r="A55" s="24" t="s">
        <v>84</v>
      </c>
      <c r="B55" s="25"/>
      <c r="C55" s="39">
        <f t="shared" ref="C55:V55" si="27">SUM(C56:C56)</f>
        <v>0</v>
      </c>
      <c r="D55" s="26">
        <f t="shared" si="27"/>
        <v>0</v>
      </c>
      <c r="E55" s="26">
        <f t="shared" si="27"/>
        <v>0</v>
      </c>
      <c r="F55" s="26">
        <f t="shared" si="27"/>
        <v>0</v>
      </c>
      <c r="G55" s="26">
        <f t="shared" si="27"/>
        <v>0</v>
      </c>
      <c r="H55" s="26">
        <f t="shared" si="27"/>
        <v>0</v>
      </c>
      <c r="I55" s="26">
        <f t="shared" si="27"/>
        <v>0</v>
      </c>
      <c r="J55" s="26">
        <f t="shared" si="27"/>
        <v>0</v>
      </c>
      <c r="K55" s="26">
        <f t="shared" si="27"/>
        <v>0</v>
      </c>
      <c r="L55" s="26">
        <f t="shared" si="27"/>
        <v>0</v>
      </c>
      <c r="M55" s="26">
        <f t="shared" si="27"/>
        <v>0</v>
      </c>
      <c r="N55" s="26">
        <f t="shared" si="27"/>
        <v>0</v>
      </c>
      <c r="O55" s="26">
        <f t="shared" si="27"/>
        <v>0</v>
      </c>
      <c r="P55" s="40">
        <f t="shared" si="27"/>
        <v>0</v>
      </c>
      <c r="Q55" s="91">
        <f t="shared" si="27"/>
        <v>0</v>
      </c>
      <c r="R55" s="39">
        <f t="shared" si="27"/>
        <v>1823097.97</v>
      </c>
      <c r="S55" s="26">
        <f t="shared" si="27"/>
        <v>1844679.74</v>
      </c>
      <c r="T55" s="26">
        <f t="shared" si="27"/>
        <v>1866261.52</v>
      </c>
      <c r="U55" s="26">
        <f t="shared" si="27"/>
        <v>1887843.3</v>
      </c>
      <c r="V55" s="40">
        <f t="shared" si="27"/>
        <v>1909425.07</v>
      </c>
      <c r="W55" s="118">
        <f>IF(C55&lt;&gt;0,((P55/C55)^(1/13))-1, 0)</f>
        <v>0</v>
      </c>
      <c r="X55" s="119">
        <f>((V55/R55)^(1/4))-1</f>
        <v>1.1633385293474463E-2</v>
      </c>
      <c r="Y55" s="123"/>
    </row>
    <row r="56" spans="1:25" x14ac:dyDescent="0.45">
      <c r="A56" s="272" t="s">
        <v>86</v>
      </c>
      <c r="B56" s="273"/>
      <c r="C56" s="274" t="s">
        <v>284</v>
      </c>
      <c r="D56" s="275" t="s">
        <v>285</v>
      </c>
      <c r="E56" s="275" t="s">
        <v>285</v>
      </c>
      <c r="F56" s="275" t="s">
        <v>285</v>
      </c>
      <c r="G56" s="275" t="s">
        <v>285</v>
      </c>
      <c r="H56" s="275" t="s">
        <v>285</v>
      </c>
      <c r="I56" s="275" t="s">
        <v>285</v>
      </c>
      <c r="J56" s="275" t="s">
        <v>285</v>
      </c>
      <c r="K56" s="275" t="s">
        <v>285</v>
      </c>
      <c r="L56" s="275" t="s">
        <v>285</v>
      </c>
      <c r="M56" s="275" t="s">
        <v>285</v>
      </c>
      <c r="N56" s="275" t="s">
        <v>285</v>
      </c>
      <c r="O56" s="275" t="s">
        <v>285</v>
      </c>
      <c r="P56" s="276" t="s">
        <v>285</v>
      </c>
      <c r="Q56" s="277" t="s">
        <v>285</v>
      </c>
      <c r="R56" s="278">
        <v>1823097.97</v>
      </c>
      <c r="S56" s="279">
        <v>1844679.74</v>
      </c>
      <c r="T56" s="279">
        <v>1866261.52</v>
      </c>
      <c r="U56" s="279">
        <v>1887843.3</v>
      </c>
      <c r="V56" s="280">
        <v>1909425.07</v>
      </c>
      <c r="W56" s="9"/>
      <c r="X56" s="10"/>
      <c r="Y56" s="96" t="s">
        <v>87</v>
      </c>
    </row>
    <row r="57" spans="1:25" x14ac:dyDescent="0.45">
      <c r="A57" s="35" t="s">
        <v>85</v>
      </c>
      <c r="B57" s="50">
        <v>0</v>
      </c>
      <c r="C57" s="74">
        <f t="shared" ref="C57:V57" si="28">C13*C55</f>
        <v>0</v>
      </c>
      <c r="D57" s="75">
        <f t="shared" si="28"/>
        <v>0</v>
      </c>
      <c r="E57" s="75">
        <f t="shared" si="28"/>
        <v>0</v>
      </c>
      <c r="F57" s="75">
        <f t="shared" si="28"/>
        <v>0</v>
      </c>
      <c r="G57" s="75">
        <f t="shared" si="28"/>
        <v>0</v>
      </c>
      <c r="H57" s="75">
        <f t="shared" si="28"/>
        <v>0</v>
      </c>
      <c r="I57" s="75">
        <f t="shared" si="28"/>
        <v>0</v>
      </c>
      <c r="J57" s="75">
        <f t="shared" si="28"/>
        <v>0</v>
      </c>
      <c r="K57" s="75">
        <f t="shared" si="28"/>
        <v>0</v>
      </c>
      <c r="L57" s="75">
        <f t="shared" si="28"/>
        <v>0</v>
      </c>
      <c r="M57" s="75">
        <f t="shared" si="28"/>
        <v>0</v>
      </c>
      <c r="N57" s="75">
        <f t="shared" si="28"/>
        <v>0</v>
      </c>
      <c r="O57" s="75">
        <f t="shared" si="28"/>
        <v>0</v>
      </c>
      <c r="P57" s="76">
        <f t="shared" si="28"/>
        <v>0</v>
      </c>
      <c r="Q57" s="105">
        <f t="shared" si="28"/>
        <v>0</v>
      </c>
      <c r="R57" s="74">
        <f t="shared" si="28"/>
        <v>1264673.5197678132</v>
      </c>
      <c r="S57" s="75">
        <f t="shared" si="28"/>
        <v>1271613.8159255423</v>
      </c>
      <c r="T57" s="75">
        <f t="shared" si="28"/>
        <v>1278510.1537439758</v>
      </c>
      <c r="U57" s="75">
        <f t="shared" si="28"/>
        <v>1285363.6844341375</v>
      </c>
      <c r="V57" s="76">
        <f t="shared" si="28"/>
        <v>1292175.5190529565</v>
      </c>
      <c r="W57" s="9"/>
      <c r="X57" s="10"/>
      <c r="Y57" s="96"/>
    </row>
    <row r="58" spans="1:25" ht="14.65" thickBot="1" x14ac:dyDescent="0.5">
      <c r="A58" s="138" t="s">
        <v>9</v>
      </c>
      <c r="B58" s="12"/>
      <c r="C58" s="47">
        <f t="shared" ref="C58:V58" si="29">IF(C55&lt;&gt;0,C57/C55,0)</f>
        <v>0</v>
      </c>
      <c r="D58" s="38">
        <f t="shared" si="29"/>
        <v>0</v>
      </c>
      <c r="E58" s="38">
        <f t="shared" si="29"/>
        <v>0</v>
      </c>
      <c r="F58" s="38">
        <f t="shared" si="29"/>
        <v>0</v>
      </c>
      <c r="G58" s="53">
        <f t="shared" si="29"/>
        <v>0</v>
      </c>
      <c r="H58" s="38">
        <f t="shared" si="29"/>
        <v>0</v>
      </c>
      <c r="I58" s="38">
        <f t="shared" si="29"/>
        <v>0</v>
      </c>
      <c r="J58" s="38">
        <f t="shared" si="29"/>
        <v>0</v>
      </c>
      <c r="K58" s="38">
        <f t="shared" si="29"/>
        <v>0</v>
      </c>
      <c r="L58" s="38">
        <f t="shared" si="29"/>
        <v>0</v>
      </c>
      <c r="M58" s="38">
        <f t="shared" si="29"/>
        <v>0</v>
      </c>
      <c r="N58" s="38">
        <f t="shared" si="29"/>
        <v>0</v>
      </c>
      <c r="O58" s="38">
        <f t="shared" si="29"/>
        <v>0</v>
      </c>
      <c r="P58" s="48">
        <f t="shared" si="29"/>
        <v>0</v>
      </c>
      <c r="Q58" s="95">
        <f t="shared" si="29"/>
        <v>0</v>
      </c>
      <c r="R58" s="47">
        <f t="shared" si="29"/>
        <v>0.6936947660403644</v>
      </c>
      <c r="S58" s="38">
        <f t="shared" si="29"/>
        <v>0.68934123813033377</v>
      </c>
      <c r="T58" s="38">
        <f t="shared" si="29"/>
        <v>0.68506484222209962</v>
      </c>
      <c r="U58" s="38">
        <f t="shared" si="29"/>
        <v>0.68086354647874514</v>
      </c>
      <c r="V58" s="48">
        <f t="shared" si="29"/>
        <v>0.6767353898066063</v>
      </c>
      <c r="W58" s="11"/>
      <c r="X58" s="13"/>
      <c r="Y58" s="16"/>
    </row>
    <row r="59" spans="1:25" ht="14.65" thickBot="1" x14ac:dyDescent="0.5">
      <c r="C59" s="9"/>
      <c r="G59" s="149"/>
      <c r="P59" s="10"/>
      <c r="Q59" s="96"/>
      <c r="R59" s="9"/>
      <c r="V59" s="10"/>
      <c r="W59" s="9"/>
      <c r="X59" s="10"/>
      <c r="Y59" s="96"/>
    </row>
    <row r="60" spans="1:25" x14ac:dyDescent="0.45">
      <c r="A60" s="23" t="s">
        <v>41</v>
      </c>
      <c r="B60" s="7"/>
      <c r="C60" s="6"/>
      <c r="D60" s="7"/>
      <c r="E60" s="7"/>
      <c r="F60" s="7"/>
      <c r="H60" s="7"/>
      <c r="I60" s="7"/>
      <c r="J60" s="7"/>
      <c r="K60" s="7"/>
      <c r="L60" s="7"/>
      <c r="M60" s="7"/>
      <c r="N60" s="7"/>
      <c r="O60" s="7"/>
      <c r="P60" s="8"/>
      <c r="Q60" s="15"/>
      <c r="R60" s="6"/>
      <c r="S60" s="7"/>
      <c r="T60" s="7"/>
      <c r="U60" s="7"/>
      <c r="V60" s="8"/>
      <c r="W60" s="6"/>
      <c r="X60" s="8"/>
      <c r="Y60" s="15"/>
    </row>
    <row r="61" spans="1:25" x14ac:dyDescent="0.45">
      <c r="A61" s="139" t="s">
        <v>8</v>
      </c>
      <c r="B61" s="140"/>
      <c r="C61" s="39">
        <f t="shared" ref="C61:V61" si="30">C55+C41+C21+C6+C15</f>
        <v>47102513.140000001</v>
      </c>
      <c r="D61" s="26">
        <f t="shared" si="30"/>
        <v>36319397.030000001</v>
      </c>
      <c r="E61" s="26">
        <f t="shared" si="30"/>
        <v>38103827.700000003</v>
      </c>
      <c r="F61" s="26">
        <f t="shared" si="30"/>
        <v>39270377.609999999</v>
      </c>
      <c r="G61" s="26">
        <f t="shared" si="30"/>
        <v>44256581.259999998</v>
      </c>
      <c r="H61" s="26">
        <f t="shared" si="30"/>
        <v>43619069.719999999</v>
      </c>
      <c r="I61" s="26">
        <f t="shared" si="30"/>
        <v>43950089.280000001</v>
      </c>
      <c r="J61" s="26">
        <f t="shared" si="30"/>
        <v>44966920.759999998</v>
      </c>
      <c r="K61" s="26">
        <f t="shared" si="30"/>
        <v>45490678.640000001</v>
      </c>
      <c r="L61" s="26">
        <f t="shared" si="30"/>
        <v>46493271.119999997</v>
      </c>
      <c r="M61" s="26">
        <f t="shared" si="30"/>
        <v>44862620.130000003</v>
      </c>
      <c r="N61" s="26">
        <f t="shared" si="30"/>
        <v>46495023.869999997</v>
      </c>
      <c r="O61" s="26">
        <f t="shared" si="30"/>
        <v>47209956.939999998</v>
      </c>
      <c r="P61" s="40">
        <f t="shared" si="30"/>
        <v>48489260.350000001</v>
      </c>
      <c r="Q61" s="91">
        <f t="shared" si="30"/>
        <v>49004916.461443655</v>
      </c>
      <c r="R61" s="39">
        <f t="shared" si="30"/>
        <v>86100532.195053667</v>
      </c>
      <c r="S61" s="26">
        <f t="shared" si="30"/>
        <v>92176484.687595189</v>
      </c>
      <c r="T61" s="26">
        <f t="shared" si="30"/>
        <v>94000635.887323886</v>
      </c>
      <c r="U61" s="26">
        <f t="shared" si="30"/>
        <v>95932021.858347356</v>
      </c>
      <c r="V61" s="40">
        <f t="shared" si="30"/>
        <v>97359604.547299936</v>
      </c>
      <c r="W61" s="118">
        <f>((P61/C61)^(1/13))-1</f>
        <v>2.2344912401250916E-3</v>
      </c>
      <c r="X61" s="119">
        <f>((V61/Q61)^(1/5))-1</f>
        <v>0.14717012812057217</v>
      </c>
      <c r="Y61" s="96"/>
    </row>
    <row r="62" spans="1:25" x14ac:dyDescent="0.45">
      <c r="A62" s="141" t="s">
        <v>88</v>
      </c>
      <c r="B62" s="116">
        <v>39788921.770000003</v>
      </c>
      <c r="C62" s="77">
        <v>47102513.140000001</v>
      </c>
      <c r="D62" s="78">
        <v>36319397.030000001</v>
      </c>
      <c r="E62" s="78">
        <v>38103827.700000003</v>
      </c>
      <c r="F62" s="78">
        <v>39270377.609999999</v>
      </c>
      <c r="G62" s="78">
        <v>44256581.259999998</v>
      </c>
      <c r="H62" s="78">
        <v>43619069.719999999</v>
      </c>
      <c r="I62" s="78">
        <v>43950089.280000001</v>
      </c>
      <c r="J62" s="78">
        <v>44966920.759999998</v>
      </c>
      <c r="K62" s="78">
        <v>45490678.640000001</v>
      </c>
      <c r="L62" s="78">
        <v>46493271.119999997</v>
      </c>
      <c r="M62" s="78">
        <v>44862620.130000003</v>
      </c>
      <c r="N62" s="78">
        <v>46495023.869999997</v>
      </c>
      <c r="O62" s="78">
        <v>47209956.939999998</v>
      </c>
      <c r="P62" s="79">
        <v>48489260.350000001</v>
      </c>
      <c r="Q62" s="106">
        <f t="shared" ref="Q62:V62" si="31">_xlfn.FORECAST.ETS(Q4,$C$62:$P$62,$C$4:$P$4,1,1)</f>
        <v>49004916.461443655</v>
      </c>
      <c r="R62" s="115">
        <f t="shared" si="31"/>
        <v>49591984.805560201</v>
      </c>
      <c r="S62" s="116">
        <f t="shared" si="31"/>
        <v>50179053.149676748</v>
      </c>
      <c r="T62" s="116">
        <f t="shared" si="31"/>
        <v>50766121.493793294</v>
      </c>
      <c r="U62" s="116">
        <f t="shared" si="31"/>
        <v>51353189.837909847</v>
      </c>
      <c r="V62" s="117">
        <f t="shared" si="31"/>
        <v>51940258.182026394</v>
      </c>
      <c r="W62" s="118">
        <f>((P62/C62)^(1/13))-1</f>
        <v>2.2344912401250916E-3</v>
      </c>
      <c r="X62" s="119">
        <f>((V62/Q62)^(1/5))-1</f>
        <v>1.1702656084861873E-2</v>
      </c>
      <c r="Y62" s="96"/>
    </row>
    <row r="63" spans="1:25" x14ac:dyDescent="0.45">
      <c r="A63" s="35" t="s">
        <v>190</v>
      </c>
      <c r="B63" s="80">
        <f>SUM(B12,B16,B37,B51,B57)</f>
        <v>27705957.050000001</v>
      </c>
      <c r="C63" s="80">
        <f t="shared" ref="C63:V63" si="32">C57+C51+C37+C16+C12</f>
        <v>33584584.970000006</v>
      </c>
      <c r="D63" s="81">
        <f t="shared" si="32"/>
        <v>33039275.449999999</v>
      </c>
      <c r="E63" s="81">
        <f t="shared" si="32"/>
        <v>35046959.520000003</v>
      </c>
      <c r="F63" s="81">
        <f t="shared" si="32"/>
        <v>33749884.920000002</v>
      </c>
      <c r="G63" s="81">
        <f t="shared" si="32"/>
        <v>33859334.490000002</v>
      </c>
      <c r="H63" s="81">
        <f t="shared" si="32"/>
        <v>32467656.530000001</v>
      </c>
      <c r="I63" s="81">
        <f t="shared" si="32"/>
        <v>32919860.859999999</v>
      </c>
      <c r="J63" s="81">
        <f t="shared" si="32"/>
        <v>32508666.940000001</v>
      </c>
      <c r="K63" s="81">
        <f t="shared" si="32"/>
        <v>31902032.98</v>
      </c>
      <c r="L63" s="81">
        <f t="shared" si="32"/>
        <v>33831022.150000006</v>
      </c>
      <c r="M63" s="81">
        <f t="shared" si="32"/>
        <v>34664515.969999999</v>
      </c>
      <c r="N63" s="81">
        <f t="shared" si="32"/>
        <v>34179925</v>
      </c>
      <c r="O63" s="81">
        <f t="shared" si="32"/>
        <v>35653469.960000001</v>
      </c>
      <c r="P63" s="82">
        <f t="shared" si="32"/>
        <v>35451340.909999996</v>
      </c>
      <c r="Q63" s="107">
        <f t="shared" si="32"/>
        <v>34719961.14510566</v>
      </c>
      <c r="R63" s="80">
        <f t="shared" si="32"/>
        <v>60150820.694290914</v>
      </c>
      <c r="S63" s="81">
        <f t="shared" si="32"/>
        <v>63880665.218462348</v>
      </c>
      <c r="T63" s="81">
        <f t="shared" si="32"/>
        <v>64653620.854729883</v>
      </c>
      <c r="U63" s="81">
        <f t="shared" si="32"/>
        <v>65492348.049849093</v>
      </c>
      <c r="V63" s="82">
        <f t="shared" si="32"/>
        <v>65982196.759155475</v>
      </c>
      <c r="W63" s="118"/>
      <c r="X63" s="119"/>
      <c r="Y63" s="96"/>
    </row>
    <row r="64" spans="1:25" x14ac:dyDescent="0.45">
      <c r="A64" s="142" t="s">
        <v>89</v>
      </c>
      <c r="B64" s="84">
        <v>27705957.050000001</v>
      </c>
      <c r="C64" s="83">
        <f>36951905.53-106629.8-561241.25-2699449.51</f>
        <v>33584584.970000006</v>
      </c>
      <c r="D64" s="84">
        <f>33039275.45</f>
        <v>33039275.449999999</v>
      </c>
      <c r="E64" s="84">
        <v>35046959.520000003</v>
      </c>
      <c r="F64" s="84">
        <v>33749884.920000002</v>
      </c>
      <c r="G64" s="84">
        <v>33859334.490000002</v>
      </c>
      <c r="H64" s="84">
        <v>32467656.530000001</v>
      </c>
      <c r="I64" s="84">
        <v>32919860.859999999</v>
      </c>
      <c r="J64" s="84">
        <v>32508666.940000001</v>
      </c>
      <c r="K64" s="84">
        <v>31902032.98</v>
      </c>
      <c r="L64" s="84">
        <f>46610506.42-117235.3-928918.77-11733330.2</f>
        <v>33831022.150000006</v>
      </c>
      <c r="M64" s="84">
        <f>44906940.13-44320-2185278.82-8012825.34</f>
        <v>34664515.969999999</v>
      </c>
      <c r="N64" s="84">
        <f>47180674.19-685650.32-2227912.3-10087186.57</f>
        <v>34179925</v>
      </c>
      <c r="O64" s="84">
        <f>47619916.63-409959.69-1612390.74-9944096.24</f>
        <v>35653469.960000001</v>
      </c>
      <c r="P64" s="85">
        <f>48804000.35-314740-1874368.34-11163551.1</f>
        <v>35451340.909999996</v>
      </c>
      <c r="Q64" s="108">
        <f>_xlfn.FORECAST.ETS(Q4,$C$64:$P$64,$C$4:$P$4,1,1)</f>
        <v>34719961.14510566</v>
      </c>
      <c r="R64" s="83">
        <f>ABS(_xlfn.FORECAST.ETS(R4,$C$64:$P$64,$C$4:$P$4,1,1))</f>
        <v>34825032.454462692</v>
      </c>
      <c r="S64" s="84">
        <f>ABS(_xlfn.FORECAST.ETS(S4,$C$64:$P$64,$C$4:$P$4,1,1))</f>
        <v>34930103.763819724</v>
      </c>
      <c r="T64" s="84">
        <f>ABS(_xlfn.FORECAST.ETS(T4,$C$64:$P$64,$C$4:$P$4,1,1))</f>
        <v>35035175.073176749</v>
      </c>
      <c r="U64" s="84">
        <f>ABS(_xlfn.FORECAST.ETS(U4,$C$64:$P$64,$C$4:$P$4,1,1))</f>
        <v>35140246.382533781</v>
      </c>
      <c r="V64" s="85">
        <f>ABS(_xlfn.FORECAST.ETS(V4,$C$64:$P$64,$C$4:$P$4,1,1))</f>
        <v>35245317.691890813</v>
      </c>
      <c r="W64" s="9"/>
      <c r="X64" s="10"/>
      <c r="Y64" s="96"/>
    </row>
    <row r="65" spans="1:25" x14ac:dyDescent="0.45">
      <c r="A65" s="9" t="s">
        <v>9</v>
      </c>
      <c r="B65" s="53">
        <f>B64/B62</f>
        <v>0.69632339398776322</v>
      </c>
      <c r="C65" s="52">
        <f>C63/C61</f>
        <v>0.71301046868090756</v>
      </c>
      <c r="D65" s="53">
        <f t="shared" ref="D65:U65" si="33">D63/D61</f>
        <v>0.90968678314536433</v>
      </c>
      <c r="E65" s="53">
        <f t="shared" si="33"/>
        <v>0.91977529910991074</v>
      </c>
      <c r="F65" s="53">
        <f t="shared" si="33"/>
        <v>0.85942348849239913</v>
      </c>
      <c r="G65" s="53">
        <f t="shared" si="33"/>
        <v>0.76506891237445762</v>
      </c>
      <c r="H65" s="53">
        <f t="shared" si="33"/>
        <v>0.74434546033229798</v>
      </c>
      <c r="I65" s="53">
        <f t="shared" si="33"/>
        <v>0.74902830459051117</v>
      </c>
      <c r="J65" s="53">
        <f t="shared" si="33"/>
        <v>0.72294625450355166</v>
      </c>
      <c r="K65" s="53">
        <f t="shared" si="33"/>
        <v>0.70128725122927738</v>
      </c>
      <c r="L65" s="53">
        <f t="shared" si="33"/>
        <v>0.72765416016183304</v>
      </c>
      <c r="M65" s="53">
        <f t="shared" si="33"/>
        <v>0.77268148560096139</v>
      </c>
      <c r="N65" s="53">
        <f t="shared" si="33"/>
        <v>0.73513081949515735</v>
      </c>
      <c r="O65" s="53">
        <f t="shared" si="33"/>
        <v>0.75521081295017178</v>
      </c>
      <c r="P65" s="54">
        <f t="shared" si="33"/>
        <v>0.73111737844852476</v>
      </c>
      <c r="Q65" s="98">
        <f t="shared" si="33"/>
        <v>0.70849954764075174</v>
      </c>
      <c r="R65" s="52">
        <f t="shared" si="33"/>
        <v>0.69861148544383189</v>
      </c>
      <c r="S65" s="53">
        <f t="shared" si="33"/>
        <v>0.69302561748765845</v>
      </c>
      <c r="T65" s="53">
        <f t="shared" si="33"/>
        <v>0.68779982437808718</v>
      </c>
      <c r="U65" s="53">
        <f t="shared" si="33"/>
        <v>0.68269537930259305</v>
      </c>
      <c r="V65" s="54">
        <f>V63/V61</f>
        <v>0.67771635953081066</v>
      </c>
      <c r="W65" s="9"/>
      <c r="X65" s="10"/>
      <c r="Y65" s="96"/>
    </row>
    <row r="66" spans="1:25" x14ac:dyDescent="0.45">
      <c r="A66" s="9"/>
      <c r="C66" s="9"/>
      <c r="P66" s="10"/>
      <c r="Q66" s="96"/>
      <c r="R66" s="9"/>
      <c r="V66" s="10"/>
      <c r="W66" s="9"/>
      <c r="X66" s="10"/>
      <c r="Y66" s="96"/>
    </row>
    <row r="67" spans="1:25" x14ac:dyDescent="0.45">
      <c r="A67" s="9" t="s">
        <v>10</v>
      </c>
      <c r="B67" t="s">
        <v>19</v>
      </c>
      <c r="C67" s="86">
        <f t="shared" ref="C67:Q67" si="34">C62-B62</f>
        <v>7313591.3699999973</v>
      </c>
      <c r="D67" s="2">
        <f t="shared" si="34"/>
        <v>-10783116.109999999</v>
      </c>
      <c r="E67" s="2">
        <f t="shared" si="34"/>
        <v>1784430.6700000018</v>
      </c>
      <c r="F67" s="2">
        <f t="shared" si="34"/>
        <v>1166549.9099999964</v>
      </c>
      <c r="G67" s="2">
        <f t="shared" si="34"/>
        <v>4986203.6499999985</v>
      </c>
      <c r="H67" s="2">
        <f t="shared" si="34"/>
        <v>-637511.53999999911</v>
      </c>
      <c r="I67" s="2">
        <f t="shared" si="34"/>
        <v>331019.56000000238</v>
      </c>
      <c r="J67" s="2">
        <f t="shared" si="34"/>
        <v>1016831.4799999967</v>
      </c>
      <c r="K67" s="2">
        <f t="shared" si="34"/>
        <v>523757.88000000268</v>
      </c>
      <c r="L67" s="2">
        <f t="shared" si="34"/>
        <v>1002592.4799999967</v>
      </c>
      <c r="M67" s="2">
        <f t="shared" si="34"/>
        <v>-1630650.9899999946</v>
      </c>
      <c r="N67" s="2">
        <f t="shared" si="34"/>
        <v>1632403.7399999946</v>
      </c>
      <c r="O67" s="2">
        <f t="shared" si="34"/>
        <v>714933.0700000003</v>
      </c>
      <c r="P67" s="87">
        <f t="shared" si="34"/>
        <v>1279303.4100000039</v>
      </c>
      <c r="Q67" s="109">
        <f t="shared" si="34"/>
        <v>515656.1114436537</v>
      </c>
      <c r="R67" s="86">
        <f>R61-Q61</f>
        <v>37095615.733610012</v>
      </c>
      <c r="S67" s="2">
        <f>S61-R61</f>
        <v>6075952.4925415218</v>
      </c>
      <c r="T67" s="2">
        <f>T61-S61</f>
        <v>1824151.1997286975</v>
      </c>
      <c r="U67" s="2">
        <f>U61-T61</f>
        <v>1931385.9710234702</v>
      </c>
      <c r="V67" s="87">
        <f>V61-U61</f>
        <v>1427582.6889525801</v>
      </c>
      <c r="W67" s="9"/>
      <c r="X67" s="10"/>
      <c r="Y67" s="96"/>
    </row>
    <row r="68" spans="1:25" x14ac:dyDescent="0.45">
      <c r="A68" s="9" t="s">
        <v>11</v>
      </c>
      <c r="B68" t="s">
        <v>19</v>
      </c>
      <c r="C68" s="146">
        <f>C67/B62</f>
        <v>0.18380974011500581</v>
      </c>
      <c r="D68" s="53">
        <f t="shared" ref="D68:Q68" si="35">D67/C62</f>
        <v>-0.22892867898470692</v>
      </c>
      <c r="E68" s="53">
        <f t="shared" si="35"/>
        <v>4.9131616048748092E-2</v>
      </c>
      <c r="F68" s="53">
        <f t="shared" si="35"/>
        <v>3.0615032148069373E-2</v>
      </c>
      <c r="G68" s="53">
        <f t="shared" si="35"/>
        <v>0.12697111546822223</v>
      </c>
      <c r="H68" s="53">
        <f t="shared" si="35"/>
        <v>-1.4404898025329287E-2</v>
      </c>
      <c r="I68" s="53">
        <f t="shared" si="35"/>
        <v>7.5888725304066934E-3</v>
      </c>
      <c r="J68" s="53">
        <f t="shared" si="35"/>
        <v>2.3136050384833181E-2</v>
      </c>
      <c r="K68" s="53">
        <f t="shared" si="35"/>
        <v>1.1647626102650724E-2</v>
      </c>
      <c r="L68" s="53">
        <f t="shared" si="35"/>
        <v>2.2039514686826769E-2</v>
      </c>
      <c r="M68" s="53">
        <f t="shared" si="35"/>
        <v>-3.5072838514443393E-2</v>
      </c>
      <c r="N68" s="53">
        <f t="shared" si="35"/>
        <v>3.6386723184462268E-2</v>
      </c>
      <c r="O68" s="53">
        <f t="shared" si="35"/>
        <v>1.5376550230384908E-2</v>
      </c>
      <c r="P68" s="54">
        <f t="shared" si="35"/>
        <v>2.7098169388840878E-2</v>
      </c>
      <c r="Q68" s="98">
        <f t="shared" si="35"/>
        <v>1.0634439620683009E-2</v>
      </c>
      <c r="R68" s="52">
        <f>R67/Q61</f>
        <v>0.75697743027061981</v>
      </c>
      <c r="S68" s="53">
        <f>S67/R61</f>
        <v>7.0568117729829488E-2</v>
      </c>
      <c r="T68" s="53">
        <f>T67/S61</f>
        <v>1.9789767486915084E-2</v>
      </c>
      <c r="U68" s="53">
        <f>U67/T61</f>
        <v>2.0546520273954021E-2</v>
      </c>
      <c r="V68" s="54">
        <f>V67/U61</f>
        <v>1.4881190464853748E-2</v>
      </c>
      <c r="W68" s="9"/>
      <c r="X68" s="10"/>
      <c r="Y68" s="96"/>
    </row>
    <row r="69" spans="1:25" x14ac:dyDescent="0.45">
      <c r="A69" s="9"/>
      <c r="C69" s="9"/>
      <c r="P69" s="10"/>
      <c r="Q69" s="96"/>
      <c r="R69" s="9"/>
      <c r="V69" s="10"/>
      <c r="W69" s="9"/>
      <c r="X69" s="10"/>
      <c r="Y69" s="96"/>
    </row>
    <row r="70" spans="1:25" x14ac:dyDescent="0.45">
      <c r="A70" s="9" t="s">
        <v>20</v>
      </c>
      <c r="B70" t="s">
        <v>19</v>
      </c>
      <c r="C70" s="86">
        <f>C64-B64</f>
        <v>5878627.9200000055</v>
      </c>
      <c r="D70" s="2">
        <f t="shared" ref="D70:P70" si="36">D64-C64</f>
        <v>-545309.520000007</v>
      </c>
      <c r="E70" s="2">
        <f t="shared" si="36"/>
        <v>2007684.070000004</v>
      </c>
      <c r="F70" s="2">
        <f t="shared" si="36"/>
        <v>-1297074.6000000015</v>
      </c>
      <c r="G70" s="2">
        <f t="shared" si="36"/>
        <v>109449.5700000003</v>
      </c>
      <c r="H70" s="2">
        <f t="shared" si="36"/>
        <v>-1391677.9600000009</v>
      </c>
      <c r="I70" s="2">
        <f t="shared" si="36"/>
        <v>452204.32999999821</v>
      </c>
      <c r="J70" s="2">
        <f t="shared" si="36"/>
        <v>-411193.91999999806</v>
      </c>
      <c r="K70" s="2">
        <f t="shared" si="36"/>
        <v>-606633.96000000089</v>
      </c>
      <c r="L70" s="2">
        <f t="shared" si="36"/>
        <v>1928989.1700000055</v>
      </c>
      <c r="M70" s="2">
        <f t="shared" si="36"/>
        <v>833493.81999999285</v>
      </c>
      <c r="N70" s="2">
        <f t="shared" si="36"/>
        <v>-484590.96999999881</v>
      </c>
      <c r="O70" s="2">
        <f t="shared" si="36"/>
        <v>1473544.9600000009</v>
      </c>
      <c r="P70" s="87">
        <f t="shared" si="36"/>
        <v>-202129.05000000447</v>
      </c>
      <c r="Q70" s="109">
        <f>Q64-P64</f>
        <v>-731379.76489433646</v>
      </c>
      <c r="R70" s="86">
        <f>R63-Q63</f>
        <v>25430859.549185254</v>
      </c>
      <c r="S70" s="2">
        <f>S63-R63</f>
        <v>3729844.5241714343</v>
      </c>
      <c r="T70" s="2">
        <f>T63-S63</f>
        <v>772955.63626753539</v>
      </c>
      <c r="U70" s="2">
        <f>U63-T63</f>
        <v>838727.19511920959</v>
      </c>
      <c r="V70" s="87">
        <f>V63-U63</f>
        <v>489848.70930638164</v>
      </c>
      <c r="W70" s="9"/>
      <c r="X70" s="10"/>
      <c r="Y70" s="96"/>
    </row>
    <row r="71" spans="1:25" ht="14.65" thickBot="1" x14ac:dyDescent="0.5">
      <c r="A71" s="11" t="s">
        <v>21</v>
      </c>
      <c r="B71" s="12" t="s">
        <v>19</v>
      </c>
      <c r="C71" s="147">
        <f>C70/B64</f>
        <v>0.21217920425528147</v>
      </c>
      <c r="D71" s="38">
        <f t="shared" ref="D71:P71" si="37">D70/C64</f>
        <v>-1.6236899175235124E-2</v>
      </c>
      <c r="E71" s="38">
        <f t="shared" si="37"/>
        <v>6.0766588935593745E-2</v>
      </c>
      <c r="F71" s="38">
        <f t="shared" si="37"/>
        <v>-3.7009618459478887E-2</v>
      </c>
      <c r="G71" s="53">
        <f t="shared" si="37"/>
        <v>3.2429612799995378E-3</v>
      </c>
      <c r="H71" s="38">
        <f t="shared" si="37"/>
        <v>-4.1101751731447006E-2</v>
      </c>
      <c r="I71" s="38">
        <f t="shared" si="37"/>
        <v>1.3927840143995703E-2</v>
      </c>
      <c r="J71" s="38">
        <f t="shared" si="37"/>
        <v>-1.2490755102176882E-2</v>
      </c>
      <c r="K71" s="38">
        <f t="shared" si="37"/>
        <v>-1.8660683968359636E-2</v>
      </c>
      <c r="L71" s="38">
        <f t="shared" si="37"/>
        <v>6.046602645070695E-2</v>
      </c>
      <c r="M71" s="38">
        <f t="shared" si="37"/>
        <v>2.463696829213281E-2</v>
      </c>
      <c r="N71" s="38">
        <f t="shared" si="37"/>
        <v>-1.3979452948928594E-2</v>
      </c>
      <c r="O71" s="38">
        <f t="shared" si="37"/>
        <v>4.3111415838390545E-2</v>
      </c>
      <c r="P71" s="48">
        <f t="shared" si="37"/>
        <v>-5.6692672614131294E-3</v>
      </c>
      <c r="Q71" s="95">
        <f>Q70/P64</f>
        <v>-2.0630524716994027E-2</v>
      </c>
      <c r="R71" s="47">
        <f>R70/Q63</f>
        <v>0.73245645186357433</v>
      </c>
      <c r="S71" s="38">
        <f>S70/R63</f>
        <v>6.2008206723028876E-2</v>
      </c>
      <c r="T71" s="38">
        <f>T70/S63</f>
        <v>1.2099993536763312E-2</v>
      </c>
      <c r="U71" s="38">
        <f>U70/T63</f>
        <v>1.2972625261062245E-2</v>
      </c>
      <c r="V71" s="48">
        <f>V70/U63</f>
        <v>7.4794800292323667E-3</v>
      </c>
      <c r="W71" s="11"/>
      <c r="X71" s="13"/>
      <c r="Y71" s="16"/>
    </row>
    <row r="72" spans="1:25" ht="14.65" thickBot="1" x14ac:dyDescent="0.5">
      <c r="C72" s="52"/>
      <c r="D72" s="53"/>
      <c r="E72" s="53"/>
      <c r="F72" s="53"/>
      <c r="G72" s="148"/>
      <c r="H72" s="53"/>
      <c r="I72" s="53"/>
      <c r="J72" s="53"/>
      <c r="K72" s="53"/>
      <c r="L72" s="53"/>
      <c r="M72" s="53"/>
      <c r="N72" s="53"/>
      <c r="O72" s="53"/>
      <c r="P72" s="54"/>
      <c r="Q72" s="96"/>
      <c r="R72" s="9"/>
      <c r="V72" s="10"/>
      <c r="W72" s="9"/>
      <c r="X72" s="10"/>
      <c r="Y72" s="96"/>
    </row>
    <row r="73" spans="1:25" x14ac:dyDescent="0.45">
      <c r="A73" s="23" t="s">
        <v>12</v>
      </c>
      <c r="B73" s="7"/>
      <c r="C73" s="6"/>
      <c r="D73" s="7"/>
      <c r="E73" s="7"/>
      <c r="F73" s="7"/>
      <c r="H73" s="7"/>
      <c r="I73" s="7"/>
      <c r="J73" s="7"/>
      <c r="K73" s="7"/>
      <c r="L73" s="7"/>
      <c r="M73" s="7"/>
      <c r="N73" s="7"/>
      <c r="O73" s="7"/>
      <c r="P73" s="8"/>
      <c r="Q73" s="8"/>
      <c r="R73" s="6"/>
      <c r="S73" s="7"/>
      <c r="T73" s="7"/>
      <c r="U73" s="7"/>
      <c r="V73" s="8"/>
      <c r="W73" s="6"/>
      <c r="X73" s="8"/>
      <c r="Y73" s="15"/>
    </row>
    <row r="74" spans="1:25" x14ac:dyDescent="0.45">
      <c r="A74" s="9" t="s">
        <v>13</v>
      </c>
      <c r="C74" s="86">
        <f>C61</f>
        <v>47102513.140000001</v>
      </c>
      <c r="D74" s="2">
        <f t="shared" ref="D74:V74" si="38">D61</f>
        <v>36319397.030000001</v>
      </c>
      <c r="E74" s="2">
        <f t="shared" si="38"/>
        <v>38103827.700000003</v>
      </c>
      <c r="F74" s="2">
        <f t="shared" si="38"/>
        <v>39270377.609999999</v>
      </c>
      <c r="G74" s="2">
        <f t="shared" si="38"/>
        <v>44256581.259999998</v>
      </c>
      <c r="H74" s="2">
        <f t="shared" si="38"/>
        <v>43619069.719999999</v>
      </c>
      <c r="I74" s="2">
        <f t="shared" si="38"/>
        <v>43950089.280000001</v>
      </c>
      <c r="J74" s="2">
        <f t="shared" si="38"/>
        <v>44966920.759999998</v>
      </c>
      <c r="K74" s="2">
        <f t="shared" si="38"/>
        <v>45490678.640000001</v>
      </c>
      <c r="L74" s="2">
        <f t="shared" si="38"/>
        <v>46493271.119999997</v>
      </c>
      <c r="M74" s="2">
        <f t="shared" si="38"/>
        <v>44862620.130000003</v>
      </c>
      <c r="N74" s="2">
        <f t="shared" si="38"/>
        <v>46495023.869999997</v>
      </c>
      <c r="O74" s="2">
        <f t="shared" si="38"/>
        <v>47209956.939999998</v>
      </c>
      <c r="P74" s="87">
        <f t="shared" si="38"/>
        <v>48489260.350000001</v>
      </c>
      <c r="Q74" s="87">
        <f t="shared" si="38"/>
        <v>49004916.461443655</v>
      </c>
      <c r="R74" s="86">
        <f t="shared" si="38"/>
        <v>86100532.195053667</v>
      </c>
      <c r="S74" s="2">
        <f t="shared" si="38"/>
        <v>92176484.687595189</v>
      </c>
      <c r="T74" s="2">
        <f t="shared" si="38"/>
        <v>94000635.887323886</v>
      </c>
      <c r="U74" s="2">
        <f t="shared" si="38"/>
        <v>95932021.858347356</v>
      </c>
      <c r="V74" s="87">
        <f t="shared" si="38"/>
        <v>97359604.547299936</v>
      </c>
      <c r="W74" s="118">
        <f>((P74/C74)^(1/13))-1</f>
        <v>2.2344912401250916E-3</v>
      </c>
      <c r="X74" s="119">
        <f t="shared" ref="X74:X79" si="39">((V74/Q74)^(1/5))-1</f>
        <v>0.14717012812057217</v>
      </c>
      <c r="Y74" s="96"/>
    </row>
    <row r="75" spans="1:25" x14ac:dyDescent="0.45">
      <c r="A75" s="9" t="s">
        <v>25</v>
      </c>
      <c r="C75" s="86">
        <v>7582051730</v>
      </c>
      <c r="D75" s="2">
        <v>9332631517</v>
      </c>
      <c r="E75" s="2">
        <v>9419637834</v>
      </c>
      <c r="F75" s="2">
        <v>9450776640</v>
      </c>
      <c r="G75" s="2">
        <v>7036278680</v>
      </c>
      <c r="H75" s="2">
        <v>7105331945</v>
      </c>
      <c r="I75" s="2">
        <v>7431747788</v>
      </c>
      <c r="J75" s="2">
        <v>5916503910</v>
      </c>
      <c r="K75" s="2">
        <v>2142162637.0699999</v>
      </c>
      <c r="L75" s="2">
        <v>1782473464.8099999</v>
      </c>
      <c r="M75" s="2">
        <v>1173466044</v>
      </c>
      <c r="N75" s="2">
        <v>1196552867</v>
      </c>
      <c r="O75" s="2">
        <v>1377780080</v>
      </c>
      <c r="P75" s="87">
        <v>2134135320</v>
      </c>
      <c r="Q75" s="87">
        <f>ABS(_xlfn.FORECAST.ETS(Q4,$C75:P75,$C$4:P4,1, 1, 5))</f>
        <v>374504803.59455794</v>
      </c>
      <c r="R75" s="86">
        <f>ABS(_xlfn.FORECAST.ETS(R4,$C75:Q75,$C$4:Q4,1, 1, 5))</f>
        <v>319934218.49249643</v>
      </c>
      <c r="S75" s="2">
        <f>ABS(_xlfn.FORECAST.ETS(S4,$C75:R75,$C$4:R4,1, 1, 5))</f>
        <v>660151404.7087357</v>
      </c>
      <c r="T75" s="2">
        <f>ABS(_xlfn.FORECAST.ETS(T4,$C75:S75,$C$4:S4,1, 1, 5))</f>
        <v>1163829370.2193646</v>
      </c>
      <c r="U75" s="2">
        <f>ABS(_xlfn.FORECAST.ETS(U4,$C75:T75,$C$4:T4,1, 1, 5))</f>
        <v>1045944106.9171734</v>
      </c>
      <c r="V75" s="87">
        <f>ABS(_xlfn.FORECAST.ETS(V4,$C75:U75,$C$4:U4,1, 1, 5))</f>
        <v>480959891.12564737</v>
      </c>
      <c r="W75" s="118">
        <f>((P75/C75)^(1/13))-1</f>
        <v>-9.2913168192067852E-2</v>
      </c>
      <c r="X75" s="119">
        <f t="shared" si="39"/>
        <v>5.130878525349214E-2</v>
      </c>
      <c r="Y75" s="96"/>
    </row>
    <row r="76" spans="1:25" x14ac:dyDescent="0.45">
      <c r="A76" s="9" t="s">
        <v>26</v>
      </c>
      <c r="C76" s="86">
        <v>562251379.80999994</v>
      </c>
      <c r="D76" s="2">
        <v>597547014.72000003</v>
      </c>
      <c r="E76" s="2">
        <v>2653187000</v>
      </c>
      <c r="F76" s="2">
        <v>2208080000</v>
      </c>
      <c r="G76" s="2">
        <v>2255848000</v>
      </c>
      <c r="H76" s="2">
        <v>516149000</v>
      </c>
      <c r="I76" s="2">
        <v>1825918000</v>
      </c>
      <c r="J76" s="2">
        <v>1184870000</v>
      </c>
      <c r="K76" s="2">
        <v>1564403000</v>
      </c>
      <c r="L76" s="2">
        <v>550460000</v>
      </c>
      <c r="M76" s="2">
        <v>236863000</v>
      </c>
      <c r="N76" s="2">
        <v>932880000</v>
      </c>
      <c r="O76" s="2">
        <v>1248244000</v>
      </c>
      <c r="P76" s="87">
        <v>1653105000</v>
      </c>
      <c r="Q76" s="87">
        <f>ABS(_xlfn.FORECAST.ETS(Q4,$C76:P76,$C$4:P4,1, 1, 5))</f>
        <v>1222366885.5717425</v>
      </c>
      <c r="R76" s="86">
        <f>ABS(_xlfn.FORECAST.ETS(R4,$C76:Q76,$C$4:Q4,1, 1, 5))</f>
        <v>329004553.90001822</v>
      </c>
      <c r="S76" s="2">
        <f>ABS(_xlfn.FORECAST.ETS(S4,$C76:R76,$C$4:R4,1, 1, 5))</f>
        <v>436079111.79316026</v>
      </c>
      <c r="T76" s="2">
        <f>ABS(_xlfn.FORECAST.ETS(T4,$C76:S76,$C$4:S4,1, 1, 5))</f>
        <v>655571488.18673384</v>
      </c>
      <c r="U76" s="2">
        <f>ABS(_xlfn.FORECAST.ETS(U4,$C76:T76,$C$4:T4,1, 1, 5))</f>
        <v>604117646.13022256</v>
      </c>
      <c r="V76" s="87">
        <f>ABS(_xlfn.FORECAST.ETS(V4,$C76:U76,$C$4:U4,1, 1, 5))</f>
        <v>518841340.21676052</v>
      </c>
      <c r="W76" s="118">
        <f>((P76/C76)^(1/13))-1</f>
        <v>8.6496807572296941E-2</v>
      </c>
      <c r="X76" s="119">
        <f t="shared" si="39"/>
        <v>-0.15750642168122608</v>
      </c>
      <c r="Y76" s="96"/>
    </row>
    <row r="77" spans="1:25" x14ac:dyDescent="0.45">
      <c r="A77" s="9" t="s">
        <v>27</v>
      </c>
      <c r="C77" s="86">
        <v>2611800000</v>
      </c>
      <c r="D77" s="2">
        <v>4341075000</v>
      </c>
      <c r="E77" s="2">
        <v>4003387000</v>
      </c>
      <c r="F77" s="2">
        <v>4266764000</v>
      </c>
      <c r="G77" s="2">
        <v>2932352000</v>
      </c>
      <c r="H77" s="2">
        <v>944293000</v>
      </c>
      <c r="I77" s="2">
        <v>3558716000</v>
      </c>
      <c r="J77" s="2">
        <v>3015740000</v>
      </c>
      <c r="K77" s="2">
        <v>184107849.53</v>
      </c>
      <c r="L77" s="2">
        <v>239134414.19999999</v>
      </c>
      <c r="M77" s="2">
        <v>1270401000</v>
      </c>
      <c r="N77" s="2">
        <v>1413801000</v>
      </c>
      <c r="O77" s="2">
        <v>1603939000</v>
      </c>
      <c r="P77" s="87">
        <v>2017287000</v>
      </c>
      <c r="Q77" s="87">
        <f>ABS(_xlfn.FORECAST.ETS(Q$4,$C77:P77,$C$4:P$4,1, 1, 5))</f>
        <v>862623030.5806092</v>
      </c>
      <c r="R77" s="86">
        <f>ABS(_xlfn.FORECAST.ETS(R4,$C77:Q77,$C$4:Q4,1, 1, 5))</f>
        <v>667510989.84664524</v>
      </c>
      <c r="S77" s="2">
        <f>ABS(_xlfn.FORECAST.ETS(S4,$C77:R77,$C$4:R4,1, 1, 5))</f>
        <v>293559351.33945274</v>
      </c>
      <c r="T77" s="2">
        <f>ABS(_xlfn.FORECAST.ETS(T4,$C77:S77,$C$4:S4,1, 1, 5))</f>
        <v>85242345.342430741</v>
      </c>
      <c r="U77" s="2">
        <f>ABS(_xlfn.FORECAST.ETS(U4,$C77:T77,$C$4:T4,1, 1, 5))</f>
        <v>121799921.80946262</v>
      </c>
      <c r="V77" s="87">
        <f>ABS(_xlfn.FORECAST.ETS(V4,$C77:U77,$C$4:U4,1, 1, 5))</f>
        <v>179322594.44959277</v>
      </c>
      <c r="W77" s="118">
        <f>((P77/C77)^(1/13))-1</f>
        <v>-1.967209024573624E-2</v>
      </c>
      <c r="X77" s="119">
        <f t="shared" si="39"/>
        <v>-0.26959658857527913</v>
      </c>
      <c r="Y77" s="96"/>
    </row>
    <row r="78" spans="1:25" x14ac:dyDescent="0.45">
      <c r="A78" s="9" t="s">
        <v>28</v>
      </c>
      <c r="C78" s="86">
        <v>0</v>
      </c>
      <c r="D78" s="2">
        <v>0</v>
      </c>
      <c r="E78" s="2">
        <v>0</v>
      </c>
      <c r="F78" s="2">
        <v>0</v>
      </c>
      <c r="G78" s="2">
        <v>0</v>
      </c>
      <c r="H78" s="2">
        <v>0</v>
      </c>
      <c r="I78" s="2">
        <v>0</v>
      </c>
      <c r="J78" s="2">
        <v>268025000</v>
      </c>
      <c r="K78" s="2">
        <v>269192000</v>
      </c>
      <c r="L78" s="2">
        <v>287570000</v>
      </c>
      <c r="M78" s="2">
        <v>271077000</v>
      </c>
      <c r="N78" s="2">
        <v>421133000</v>
      </c>
      <c r="O78" s="2">
        <v>486069000</v>
      </c>
      <c r="P78" s="87">
        <v>583181000</v>
      </c>
      <c r="Q78" s="87">
        <f>ABS(_xlfn.FORECAST.ETS(Q$4,$C78:P78,$C$4:P$4,1, 1, 5))</f>
        <v>624233507.72005773</v>
      </c>
      <c r="R78" s="86">
        <f>ABS(_xlfn.FORECAST.ETS(R$4,$C78:Q78,$C$4:Q$4,1, 1, 5))</f>
        <v>673140028.73236358</v>
      </c>
      <c r="S78" s="2">
        <f>ABS(_xlfn.FORECAST.ETS(S$4,$C78:R78,$C$4:R$4,1, 1, 5))</f>
        <v>723289544.02840948</v>
      </c>
      <c r="T78" s="2">
        <f>ABS(_xlfn.FORECAST.ETS(T$4,$C78:S78,$C$4:S$4,1, 1, 5))</f>
        <v>772390546.43639565</v>
      </c>
      <c r="U78" s="2">
        <f>ABS(_xlfn.FORECAST.ETS(U$4,$C78:T78,$C$4:T$4,1, 1, 5))</f>
        <v>824849355.87429082</v>
      </c>
      <c r="V78" s="87">
        <f>ABS(_xlfn.FORECAST.ETS(V$4,$C78:U78,$C$4:U$4,1, 1, 5))</f>
        <v>877245286.28035021</v>
      </c>
      <c r="W78" s="118">
        <f>((P78/J78)^(1/6))-1</f>
        <v>0.13833828801933068</v>
      </c>
      <c r="X78" s="119">
        <f t="shared" si="39"/>
        <v>7.0421425284918238E-2</v>
      </c>
      <c r="Y78" s="96"/>
    </row>
    <row r="79" spans="1:25" x14ac:dyDescent="0.45">
      <c r="A79" s="9" t="s">
        <v>29</v>
      </c>
      <c r="C79" s="86">
        <v>2228623000</v>
      </c>
      <c r="D79" s="2">
        <v>2667401000</v>
      </c>
      <c r="E79" s="2">
        <v>3001024000</v>
      </c>
      <c r="F79" s="2">
        <v>3730361000</v>
      </c>
      <c r="G79" s="2">
        <v>2420007000</v>
      </c>
      <c r="H79" s="2">
        <v>1572028000</v>
      </c>
      <c r="I79" s="2">
        <v>2086644000</v>
      </c>
      <c r="J79" s="2">
        <v>2647840000</v>
      </c>
      <c r="K79" s="2">
        <v>2394303000</v>
      </c>
      <c r="L79" s="88">
        <f>ABS(_xlfn.FORECAST.ETS(L$4,$C79:K$79,$C$4:K$4,1, 1, 5))</f>
        <v>2210215349.0042853</v>
      </c>
      <c r="M79" s="88">
        <f>ABS(_xlfn.FORECAST.ETS(M$4,$C79:L$79,$C$4:L$4,1, 1, 5))</f>
        <v>2148559194.2768745</v>
      </c>
      <c r="N79" s="88">
        <f>ABS(_xlfn.FORECAST.ETS(N$4,$C79:M$79,$C$4:M$4,1, 1, 5))</f>
        <v>2087663495.6433871</v>
      </c>
      <c r="O79" s="88">
        <f>ABS(_xlfn.FORECAST.ETS(O$4,$C79:N$79,$C$4:N$4,1, 1, 5))</f>
        <v>2027292576.9038696</v>
      </c>
      <c r="P79" s="89">
        <f>ABS(_xlfn.FORECAST.ETS(P$4,$C79:O$79,$C$4:O$4,1, 1, 5))</f>
        <v>1967297507.8907068</v>
      </c>
      <c r="Q79" s="89">
        <f>ABS(_xlfn.FORECAST.ETS(Q$4,$C79:P$79,$C$4:P$4,1, 1, 5))</f>
        <v>1907583833.1554344</v>
      </c>
      <c r="R79" s="90">
        <f>ABS(_xlfn.FORECAST.ETS(R$4,$C79:Q$79,$C$4:Q$4,1, 1, 5))</f>
        <v>1057476880.5728852</v>
      </c>
      <c r="S79" s="88">
        <f>ABS(_xlfn.FORECAST.ETS(S$4,$C79:R$79,$C$4:R$4,1, 1, 5))</f>
        <v>1469629482.9380467</v>
      </c>
      <c r="T79" s="88">
        <f>ABS(_xlfn.FORECAST.ETS(T$4,$C79:S$79,$C$4:S$4,1, 1, 5))</f>
        <v>1347522571.4697304</v>
      </c>
      <c r="U79" s="88">
        <f>ABS(_xlfn.FORECAST.ETS(U$4,$C79:T$79,$C$4:T$4,1, 1, 5))</f>
        <v>1264431826.0029831</v>
      </c>
      <c r="V79" s="89">
        <f>ABS(_xlfn.FORECAST.ETS(V$4,$C79:U$79,$C$4:U$4,1, 1, 5))</f>
        <v>1125051103.9493735</v>
      </c>
      <c r="W79" s="118">
        <f>((P79/C79)^(1/13))-1</f>
        <v>-9.54821038248721E-3</v>
      </c>
      <c r="X79" s="119">
        <f t="shared" si="39"/>
        <v>-0.10021712468803357</v>
      </c>
      <c r="Y79" s="96" t="s">
        <v>36</v>
      </c>
    </row>
    <row r="80" spans="1:25" x14ac:dyDescent="0.45">
      <c r="A80" s="9" t="s">
        <v>30</v>
      </c>
      <c r="C80" s="90" cm="1">
        <f t="array" ref="C80:E80">TREND(F80:I80,F4:I4,C4:E4)</f>
        <v>967817500</v>
      </c>
      <c r="D80" s="88">
        <v>873797000</v>
      </c>
      <c r="E80" s="88">
        <v>779776500</v>
      </c>
      <c r="F80" s="143">
        <v>641317000</v>
      </c>
      <c r="G80" s="143">
        <v>603526000</v>
      </c>
      <c r="H80" s="143">
        <v>607451000</v>
      </c>
      <c r="I80" s="143">
        <v>326607000</v>
      </c>
      <c r="J80" s="88">
        <f t="shared" ref="J80:V80" si="40">ABS(_xlfn.FORECAST.ETS(J$4,$F$80:$I$80,$F$4:$I$4,1,1))</f>
        <v>279167273.4049232</v>
      </c>
      <c r="K80" s="88">
        <f t="shared" si="40"/>
        <v>179782691.17415893</v>
      </c>
      <c r="L80" s="88">
        <f t="shared" si="40"/>
        <v>80398108.943394735</v>
      </c>
      <c r="M80" s="88">
        <f t="shared" si="40"/>
        <v>18986473.287369568</v>
      </c>
      <c r="N80" s="88">
        <f t="shared" si="40"/>
        <v>118371055.5181338</v>
      </c>
      <c r="O80" s="88">
        <f t="shared" si="40"/>
        <v>217755637.74889806</v>
      </c>
      <c r="P80" s="89">
        <f t="shared" si="40"/>
        <v>317140219.9796623</v>
      </c>
      <c r="Q80" s="89">
        <f t="shared" si="40"/>
        <v>416524802.21042657</v>
      </c>
      <c r="R80" s="90">
        <f t="shared" si="40"/>
        <v>515909384.44119084</v>
      </c>
      <c r="S80" s="88">
        <f t="shared" si="40"/>
        <v>615293966.67195511</v>
      </c>
      <c r="T80" s="88">
        <f t="shared" si="40"/>
        <v>714678548.90271938</v>
      </c>
      <c r="U80" s="88">
        <f t="shared" si="40"/>
        <v>814063131.13348353</v>
      </c>
      <c r="V80" s="89">
        <f t="shared" si="40"/>
        <v>913447713.36424792</v>
      </c>
      <c r="W80" s="118">
        <f t="shared" ref="W80:W88" si="41">((P80/C80)^(1/13))-1</f>
        <v>-8.2243377363593662E-2</v>
      </c>
      <c r="X80" s="119">
        <f t="shared" ref="X80:X88" si="42">((V80/Q80)^(1/5))-1</f>
        <v>0.17006116533224946</v>
      </c>
      <c r="Y80" s="96"/>
    </row>
    <row r="81" spans="1:25" x14ac:dyDescent="0.45">
      <c r="A81" s="9" t="s">
        <v>31</v>
      </c>
      <c r="C81" s="90" cm="1">
        <f t="array" ref="C81:I81">TREND(J81:P81,J4:P4,C4:I4)</f>
        <v>5875641108.9942627</v>
      </c>
      <c r="D81" s="88">
        <v>5726152905.3449707</v>
      </c>
      <c r="E81" s="88">
        <v>5576664701.6956787</v>
      </c>
      <c r="F81" s="88">
        <v>5427176498.0463867</v>
      </c>
      <c r="G81" s="88">
        <v>5277688294.3970947</v>
      </c>
      <c r="H81" s="88">
        <v>5128200090.7478638</v>
      </c>
      <c r="I81" s="88">
        <v>4978711887.0985718</v>
      </c>
      <c r="J81" s="143">
        <v>5048286687.1599998</v>
      </c>
      <c r="K81" s="143">
        <v>5021071820.3500004</v>
      </c>
      <c r="L81" s="143">
        <v>4570962000</v>
      </c>
      <c r="M81" s="143">
        <v>3319495000</v>
      </c>
      <c r="N81" s="143">
        <v>4104431000</v>
      </c>
      <c r="O81" s="143">
        <v>4335336000</v>
      </c>
      <c r="P81" s="144">
        <v>4265731000</v>
      </c>
      <c r="Q81" s="89">
        <f t="shared" ref="Q81:V81" si="43">ABS(_xlfn.FORECAST.ETS(Q$4,$J$81:$P$81,$J$4:$P$4,1,1))</f>
        <v>3886037955.1156049</v>
      </c>
      <c r="R81" s="90">
        <f t="shared" si="43"/>
        <v>3735444494.0575285</v>
      </c>
      <c r="S81" s="88">
        <f t="shared" si="43"/>
        <v>3584851032.9994521</v>
      </c>
      <c r="T81" s="88">
        <f t="shared" si="43"/>
        <v>3434257571.9413757</v>
      </c>
      <c r="U81" s="88">
        <f t="shared" si="43"/>
        <v>3283664110.8832994</v>
      </c>
      <c r="V81" s="89">
        <f t="shared" si="43"/>
        <v>3133070649.825223</v>
      </c>
      <c r="W81" s="118">
        <f t="shared" si="41"/>
        <v>-2.4330028461015618E-2</v>
      </c>
      <c r="X81" s="119">
        <f t="shared" si="42"/>
        <v>-4.2160748695524441E-2</v>
      </c>
      <c r="Y81" s="96"/>
    </row>
    <row r="82" spans="1:25" x14ac:dyDescent="0.45">
      <c r="A82" s="9" t="s">
        <v>32</v>
      </c>
      <c r="C82" s="90" cm="1">
        <f t="array" ref="C82:D82">TREND(E82:P82,E4:P4,C4:D4)</f>
        <v>1066394757.1289063</v>
      </c>
      <c r="D82" s="88">
        <v>984811845.69271851</v>
      </c>
      <c r="E82" s="143">
        <v>859554812.44000006</v>
      </c>
      <c r="F82" s="143">
        <v>418794360.64999998</v>
      </c>
      <c r="G82" s="143">
        <v>879585671.02999997</v>
      </c>
      <c r="H82" s="143">
        <v>1283130413.9300001</v>
      </c>
      <c r="I82" s="143">
        <v>421376668.43000001</v>
      </c>
      <c r="J82" s="143">
        <v>605492825.30999994</v>
      </c>
      <c r="K82" s="143">
        <v>329960402.05000001</v>
      </c>
      <c r="L82" s="143">
        <v>227497902.44999999</v>
      </c>
      <c r="M82" s="143">
        <v>126391000</v>
      </c>
      <c r="N82" s="143">
        <v>125544000</v>
      </c>
      <c r="O82" s="143">
        <v>67860000</v>
      </c>
      <c r="P82" s="144">
        <v>109087000</v>
      </c>
      <c r="Q82" s="89">
        <f t="shared" ref="Q82:V82" si="44">ABS(_xlfn.FORECAST.ETS(Q$4,$E$82:$P$82,$E$4:$P$4,1,1))</f>
        <v>115067691.10096724</v>
      </c>
      <c r="R82" s="90">
        <f t="shared" si="44"/>
        <v>196143142.00502896</v>
      </c>
      <c r="S82" s="88">
        <f t="shared" si="44"/>
        <v>277218592.90909094</v>
      </c>
      <c r="T82" s="88">
        <f t="shared" si="44"/>
        <v>358294043.81315267</v>
      </c>
      <c r="U82" s="88">
        <f t="shared" si="44"/>
        <v>439369494.71721464</v>
      </c>
      <c r="V82" s="89">
        <f t="shared" si="44"/>
        <v>520444945.62127638</v>
      </c>
      <c r="W82" s="118">
        <f t="shared" si="41"/>
        <v>-0.16085888645242474</v>
      </c>
      <c r="X82" s="119">
        <f t="shared" si="42"/>
        <v>0.35233497212261633</v>
      </c>
      <c r="Y82" s="96"/>
    </row>
    <row r="83" spans="1:25" x14ac:dyDescent="0.45">
      <c r="A83" s="9" t="s">
        <v>33</v>
      </c>
      <c r="C83" s="90" cm="1">
        <f t="array" ref="C83:G83">ABS(TREND(H83:P83,H4:P4,C4:G4))</f>
        <v>34357952.494777679</v>
      </c>
      <c r="D83" s="88">
        <v>25654339.00844574</v>
      </c>
      <c r="E83" s="88">
        <v>16950725.522109985</v>
      </c>
      <c r="F83" s="88">
        <v>8247112.0357780457</v>
      </c>
      <c r="G83" s="88">
        <v>456501.45055770874</v>
      </c>
      <c r="H83" s="143">
        <v>16114831</v>
      </c>
      <c r="I83" s="143">
        <v>13485288.939999999</v>
      </c>
      <c r="J83" s="143">
        <v>22778000</v>
      </c>
      <c r="K83" s="143">
        <v>17149000</v>
      </c>
      <c r="L83" s="143">
        <v>57266000</v>
      </c>
      <c r="M83" s="143">
        <v>59604000</v>
      </c>
      <c r="N83" s="143">
        <v>70104000</v>
      </c>
      <c r="O83" s="143">
        <v>67055000</v>
      </c>
      <c r="P83" s="144">
        <v>72215000</v>
      </c>
      <c r="Q83" s="89">
        <f t="shared" ref="Q83:V83" si="45">ABS(_xlfn.FORECAST.ETS(Q$4,$H$83:$P$83,$H$4:$P$4,1,1))</f>
        <v>89352932.63742964</v>
      </c>
      <c r="R83" s="90">
        <f t="shared" si="45"/>
        <v>98017884.450232923</v>
      </c>
      <c r="S83" s="88">
        <f t="shared" si="45"/>
        <v>106682836.26303621</v>
      </c>
      <c r="T83" s="88">
        <f t="shared" si="45"/>
        <v>115347788.07583949</v>
      </c>
      <c r="U83" s="88">
        <f t="shared" si="45"/>
        <v>124012739.88864277</v>
      </c>
      <c r="V83" s="89">
        <f t="shared" si="45"/>
        <v>132677691.70144606</v>
      </c>
      <c r="W83" s="118">
        <f t="shared" si="41"/>
        <v>5.8803566303665677E-2</v>
      </c>
      <c r="X83" s="119">
        <f t="shared" si="42"/>
        <v>8.2275480094085918E-2</v>
      </c>
      <c r="Y83" s="96"/>
    </row>
    <row r="84" spans="1:25" x14ac:dyDescent="0.45">
      <c r="A84" s="9" t="s">
        <v>34</v>
      </c>
      <c r="C84" s="90" cm="1">
        <f t="array" ref="C84:D84">ABS(TREND(E84:P84,E4:P4,C4:D4))</f>
        <v>1852430068.2345276</v>
      </c>
      <c r="D84" s="88">
        <v>1766597397.253479</v>
      </c>
      <c r="E84" s="143">
        <v>1115759330</v>
      </c>
      <c r="F84" s="143">
        <v>705501776</v>
      </c>
      <c r="G84" s="143">
        <v>1813309331.99</v>
      </c>
      <c r="H84" s="143">
        <v>1754670992.53</v>
      </c>
      <c r="I84" s="143">
        <v>2075457000</v>
      </c>
      <c r="J84" s="143">
        <v>1860100000</v>
      </c>
      <c r="K84" s="143">
        <v>1439980000</v>
      </c>
      <c r="L84" s="143">
        <v>1380741000</v>
      </c>
      <c r="M84" s="143">
        <v>618169000</v>
      </c>
      <c r="N84" s="143">
        <v>776243000</v>
      </c>
      <c r="O84" s="143">
        <v>543106000</v>
      </c>
      <c r="P84" s="144">
        <v>421183000</v>
      </c>
      <c r="Q84" s="89">
        <f t="shared" ref="Q84:V84" si="46">ABS(_xlfn.FORECAST.ETS(Q$4,$E$84:$P$84,$E$4:$P$4,1,1))</f>
        <v>277644765.3396492</v>
      </c>
      <c r="R84" s="90">
        <f t="shared" si="46"/>
        <v>169688955.61274797</v>
      </c>
      <c r="S84" s="88">
        <f t="shared" si="46"/>
        <v>61733145.885846972</v>
      </c>
      <c r="T84" s="88">
        <f t="shared" si="46"/>
        <v>46222663.841054261</v>
      </c>
      <c r="U84" s="88">
        <f t="shared" si="46"/>
        <v>154178473.5679552</v>
      </c>
      <c r="V84" s="89">
        <f t="shared" si="46"/>
        <v>262134283.29485649</v>
      </c>
      <c r="W84" s="118">
        <f t="shared" si="41"/>
        <v>-0.10768618619380987</v>
      </c>
      <c r="X84" s="119">
        <f t="shared" si="42"/>
        <v>-1.1431274734737595E-2</v>
      </c>
      <c r="Y84" s="96"/>
    </row>
    <row r="85" spans="1:25" x14ac:dyDescent="0.45">
      <c r="A85" s="9" t="s">
        <v>35</v>
      </c>
      <c r="C85" s="90" cm="1">
        <f t="array" ref="C85:D85">ABS(TREND(E85:P85,E4:P4,C4:D4))</f>
        <v>620392814.27923584</v>
      </c>
      <c r="D85" s="88">
        <v>658821175.53878784</v>
      </c>
      <c r="E85" s="143">
        <v>536883749.36000001</v>
      </c>
      <c r="F85" s="143">
        <v>620788844.67999995</v>
      </c>
      <c r="G85" s="143">
        <v>658580690.66999996</v>
      </c>
      <c r="H85" s="143">
        <v>736143000</v>
      </c>
      <c r="I85" s="143">
        <v>677056000</v>
      </c>
      <c r="J85" s="143">
        <v>1458772000</v>
      </c>
      <c r="K85" s="143">
        <v>1551079000</v>
      </c>
      <c r="L85" s="143">
        <v>1424968000</v>
      </c>
      <c r="M85" s="143">
        <v>503044000</v>
      </c>
      <c r="N85" s="143">
        <v>524870000</v>
      </c>
      <c r="O85" s="143">
        <v>1036566000</v>
      </c>
      <c r="P85" s="144">
        <v>1174515000</v>
      </c>
      <c r="Q85" s="89">
        <f t="shared" ref="Q85:V85" si="47">ABS(_xlfn.FORECAST.ETS(Q$4,$E$85:$P$85,$E$4:$P$4,1,1))</f>
        <v>1014089155.5733038</v>
      </c>
      <c r="R85" s="90">
        <f t="shared" si="47"/>
        <v>1054383814.4858823</v>
      </c>
      <c r="S85" s="88">
        <f t="shared" si="47"/>
        <v>1094678473.3984604</v>
      </c>
      <c r="T85" s="88">
        <f t="shared" si="47"/>
        <v>1134973132.3110385</v>
      </c>
      <c r="U85" s="88">
        <f t="shared" si="47"/>
        <v>1175267791.2236166</v>
      </c>
      <c r="V85" s="89">
        <f t="shared" si="47"/>
        <v>1215562450.1361947</v>
      </c>
      <c r="W85" s="118">
        <f t="shared" si="41"/>
        <v>5.0321962581757029E-2</v>
      </c>
      <c r="X85" s="119">
        <f t="shared" si="42"/>
        <v>3.6908005470686955E-2</v>
      </c>
      <c r="Y85" s="96"/>
    </row>
    <row r="86" spans="1:25" x14ac:dyDescent="0.45">
      <c r="A86" s="9"/>
      <c r="C86" s="9"/>
      <c r="P86" s="10"/>
      <c r="Q86" s="10"/>
      <c r="R86" s="9"/>
      <c r="V86" s="10"/>
      <c r="W86" s="118"/>
      <c r="X86" s="119"/>
      <c r="Y86" s="96"/>
    </row>
    <row r="87" spans="1:25" x14ac:dyDescent="0.45">
      <c r="A87" s="9"/>
      <c r="C87" s="9"/>
      <c r="P87" s="10"/>
      <c r="Q87" s="10"/>
      <c r="R87" s="9"/>
      <c r="V87" s="10"/>
      <c r="W87" s="118"/>
      <c r="X87" s="119"/>
      <c r="Y87" s="96"/>
    </row>
    <row r="88" spans="1:25" x14ac:dyDescent="0.45">
      <c r="A88" s="9" t="s">
        <v>14</v>
      </c>
      <c r="C88" s="86">
        <f>SUM(C74:C85)</f>
        <v>23448862824.081711</v>
      </c>
      <c r="D88" s="2">
        <f t="shared" ref="D88:V88" si="48">SUM(D74:D85)</f>
        <v>27010808591.588402</v>
      </c>
      <c r="E88" s="2">
        <f t="shared" si="48"/>
        <v>28000929480.717789</v>
      </c>
      <c r="F88" s="2">
        <f t="shared" si="48"/>
        <v>27517077609.022167</v>
      </c>
      <c r="G88" s="2">
        <f t="shared" si="48"/>
        <v>23921888750.797653</v>
      </c>
      <c r="H88" s="2">
        <f t="shared" si="48"/>
        <v>19707131342.927864</v>
      </c>
      <c r="I88" s="2">
        <f t="shared" si="48"/>
        <v>23439669721.748569</v>
      </c>
      <c r="J88" s="2">
        <f t="shared" si="48"/>
        <v>22352542616.634922</v>
      </c>
      <c r="K88" s="2">
        <f t="shared" si="48"/>
        <v>15138682078.814159</v>
      </c>
      <c r="L88" s="2">
        <f t="shared" si="48"/>
        <v>12858179510.527679</v>
      </c>
      <c r="M88" s="2">
        <f t="shared" si="48"/>
        <v>9790918331.6942444</v>
      </c>
      <c r="N88" s="2">
        <f t="shared" si="48"/>
        <v>11818088442.031521</v>
      </c>
      <c r="O88" s="2">
        <f t="shared" si="48"/>
        <v>13058213251.59277</v>
      </c>
      <c r="P88" s="87">
        <f t="shared" si="48"/>
        <v>14763366308.220369</v>
      </c>
      <c r="Q88" s="87">
        <f t="shared" si="48"/>
        <v>10839034279.061228</v>
      </c>
      <c r="R88" s="86">
        <f t="shared" si="48"/>
        <v>8902754878.7920742</v>
      </c>
      <c r="S88" s="2">
        <f t="shared" si="48"/>
        <v>9415343427.6232414</v>
      </c>
      <c r="T88" s="2">
        <f t="shared" si="48"/>
        <v>9922330706.4271603</v>
      </c>
      <c r="U88" s="2">
        <f t="shared" si="48"/>
        <v>9947630620.006691</v>
      </c>
      <c r="V88" s="87">
        <f t="shared" si="48"/>
        <v>9456117554.51227</v>
      </c>
      <c r="W88" s="118">
        <f t="shared" si="41"/>
        <v>-3.4964355796029745E-2</v>
      </c>
      <c r="X88" s="119">
        <f t="shared" si="42"/>
        <v>-2.6929168293758909E-2</v>
      </c>
      <c r="Y88" s="96"/>
    </row>
    <row r="89" spans="1:25" x14ac:dyDescent="0.45">
      <c r="A89" s="9" t="s">
        <v>15</v>
      </c>
      <c r="C89" s="52">
        <f>C74/C88</f>
        <v>2.0087333655952931E-3</v>
      </c>
      <c r="D89" s="53">
        <f t="shared" ref="D89:V89" si="49">D74/D88</f>
        <v>1.344624575263935E-3</v>
      </c>
      <c r="E89" s="53">
        <f t="shared" si="49"/>
        <v>1.3608058163297526E-3</v>
      </c>
      <c r="F89" s="53">
        <f t="shared" si="49"/>
        <v>1.4271274794502239E-3</v>
      </c>
      <c r="G89" s="53">
        <f t="shared" si="49"/>
        <v>1.8500454425248636E-3</v>
      </c>
      <c r="H89" s="53">
        <f t="shared" si="49"/>
        <v>2.2133647440094428E-3</v>
      </c>
      <c r="I89" s="53">
        <f t="shared" si="49"/>
        <v>1.875030228741695E-3</v>
      </c>
      <c r="J89" s="53">
        <f t="shared" si="49"/>
        <v>2.0117139034793873E-3</v>
      </c>
      <c r="K89" s="53">
        <f t="shared" si="49"/>
        <v>3.00492991418731E-3</v>
      </c>
      <c r="L89" s="53">
        <f t="shared" si="49"/>
        <v>3.615851768279753E-3</v>
      </c>
      <c r="M89" s="53">
        <f t="shared" si="49"/>
        <v>4.5820645837454212E-3</v>
      </c>
      <c r="N89" s="53">
        <f t="shared" si="49"/>
        <v>3.9342254120081311E-3</v>
      </c>
      <c r="O89" s="53">
        <f t="shared" si="49"/>
        <v>3.6153458386997614E-3</v>
      </c>
      <c r="P89" s="54">
        <f t="shared" si="49"/>
        <v>3.2844311614080024E-3</v>
      </c>
      <c r="Q89" s="54">
        <f t="shared" si="49"/>
        <v>4.5211515343309703E-3</v>
      </c>
      <c r="R89" s="52">
        <f t="shared" si="49"/>
        <v>9.6712234996113675E-3</v>
      </c>
      <c r="S89" s="53">
        <f t="shared" si="49"/>
        <v>9.7900289454299523E-3</v>
      </c>
      <c r="T89" s="53">
        <f t="shared" si="49"/>
        <v>9.4736447180132043E-3</v>
      </c>
      <c r="U89" s="53">
        <f t="shared" si="49"/>
        <v>9.643705674536077E-3</v>
      </c>
      <c r="V89" s="54">
        <f t="shared" si="49"/>
        <v>1.029593847433103E-2</v>
      </c>
      <c r="W89" s="9"/>
      <c r="X89" s="10"/>
      <c r="Y89" s="96"/>
    </row>
    <row r="90" spans="1:25" x14ac:dyDescent="0.45">
      <c r="A90" s="9" t="s">
        <v>16</v>
      </c>
      <c r="C90" s="9"/>
      <c r="D90" s="2">
        <f>D88-C88</f>
        <v>3561945767.506691</v>
      </c>
      <c r="E90" s="2">
        <f t="shared" ref="E90:V90" si="50">E88-D88</f>
        <v>990120889.1293869</v>
      </c>
      <c r="F90" s="2">
        <f t="shared" si="50"/>
        <v>-483851871.69562149</v>
      </c>
      <c r="G90" s="2">
        <f t="shared" si="50"/>
        <v>-3595188858.224514</v>
      </c>
      <c r="H90" s="2">
        <f t="shared" si="50"/>
        <v>-4214757407.8697891</v>
      </c>
      <c r="I90" s="2">
        <f t="shared" si="50"/>
        <v>3732538378.8207054</v>
      </c>
      <c r="J90" s="2">
        <f t="shared" si="50"/>
        <v>-1087127105.1136475</v>
      </c>
      <c r="K90" s="2">
        <f t="shared" si="50"/>
        <v>-7213860537.8207626</v>
      </c>
      <c r="L90" s="2">
        <f t="shared" si="50"/>
        <v>-2280502568.2864799</v>
      </c>
      <c r="M90" s="2">
        <f t="shared" si="50"/>
        <v>-3067261178.8334351</v>
      </c>
      <c r="N90" s="2">
        <f t="shared" si="50"/>
        <v>2027170110.3372765</v>
      </c>
      <c r="O90" s="2">
        <f t="shared" si="50"/>
        <v>1240124809.5612488</v>
      </c>
      <c r="P90" s="87">
        <f t="shared" si="50"/>
        <v>1705153056.6275997</v>
      </c>
      <c r="Q90" s="87">
        <f t="shared" si="50"/>
        <v>-3924332029.1591415</v>
      </c>
      <c r="R90" s="86">
        <f t="shared" si="50"/>
        <v>-1936279400.2691536</v>
      </c>
      <c r="S90" s="2">
        <f t="shared" si="50"/>
        <v>512588548.83116722</v>
      </c>
      <c r="T90" s="2">
        <f t="shared" si="50"/>
        <v>506987278.80391884</v>
      </c>
      <c r="U90" s="2">
        <f t="shared" si="50"/>
        <v>25299913.579530716</v>
      </c>
      <c r="V90" s="87">
        <f t="shared" si="50"/>
        <v>-491513065.49442101</v>
      </c>
      <c r="W90" s="9"/>
      <c r="X90" s="10"/>
      <c r="Y90" s="96"/>
    </row>
    <row r="91" spans="1:25" x14ac:dyDescent="0.45">
      <c r="A91" s="9" t="s">
        <v>17</v>
      </c>
      <c r="C91" s="9"/>
      <c r="D91" s="53">
        <f>D90/C88</f>
        <v>0.1519027082135776</v>
      </c>
      <c r="E91" s="53">
        <f t="shared" ref="E91:V91" si="51">E90/D88</f>
        <v>3.6656469789568845E-2</v>
      </c>
      <c r="F91" s="53">
        <f t="shared" si="51"/>
        <v>-1.7279850371710526E-2</v>
      </c>
      <c r="G91" s="53">
        <f t="shared" si="51"/>
        <v>-0.13065300426545806</v>
      </c>
      <c r="H91" s="53">
        <f t="shared" si="51"/>
        <v>-0.17618832073739377</v>
      </c>
      <c r="I91" s="53">
        <f t="shared" si="51"/>
        <v>0.18940039084684798</v>
      </c>
      <c r="J91" s="53">
        <f t="shared" si="51"/>
        <v>-4.6379796218073553E-2</v>
      </c>
      <c r="K91" s="53">
        <f t="shared" si="51"/>
        <v>-0.32273109424482904</v>
      </c>
      <c r="L91" s="53">
        <f t="shared" si="51"/>
        <v>-0.15064075963903958</v>
      </c>
      <c r="M91" s="53">
        <f t="shared" si="51"/>
        <v>-0.23854552476282542</v>
      </c>
      <c r="N91" s="53">
        <f t="shared" si="51"/>
        <v>0.20704596256054053</v>
      </c>
      <c r="O91" s="53">
        <f t="shared" si="51"/>
        <v>0.10493446682550568</v>
      </c>
      <c r="P91" s="54">
        <f t="shared" si="51"/>
        <v>0.13058088605036486</v>
      </c>
      <c r="Q91" s="54">
        <f t="shared" si="51"/>
        <v>-0.26581552927898561</v>
      </c>
      <c r="R91" s="52">
        <f t="shared" si="51"/>
        <v>-0.17863947565971305</v>
      </c>
      <c r="S91" s="53">
        <f t="shared" si="51"/>
        <v>5.7576396947897908E-2</v>
      </c>
      <c r="T91" s="53">
        <f t="shared" si="51"/>
        <v>5.3846923662549818E-2</v>
      </c>
      <c r="U91" s="53">
        <f t="shared" si="51"/>
        <v>2.5497954390033355E-3</v>
      </c>
      <c r="V91" s="54">
        <f t="shared" si="51"/>
        <v>-4.94100639911065E-2</v>
      </c>
      <c r="W91" s="9"/>
      <c r="X91" s="10"/>
      <c r="Y91" s="96"/>
    </row>
    <row r="92" spans="1:25" ht="14.65" thickBot="1" x14ac:dyDescent="0.5">
      <c r="A92" s="11" t="s">
        <v>18</v>
      </c>
      <c r="B92" s="12"/>
      <c r="C92" s="11"/>
      <c r="D92" s="38">
        <f>D67/D90</f>
        <v>-3.0273105807413852E-3</v>
      </c>
      <c r="E92" s="38">
        <f t="shared" ref="E92:V92" si="52">E67/E90</f>
        <v>1.8022351508703662E-3</v>
      </c>
      <c r="F92" s="38">
        <f t="shared" si="52"/>
        <v>-2.4109649631237602E-3</v>
      </c>
      <c r="G92" s="38">
        <f t="shared" si="52"/>
        <v>-1.3869100752783368E-3</v>
      </c>
      <c r="H92" s="38">
        <f t="shared" si="52"/>
        <v>1.512569949600512E-4</v>
      </c>
      <c r="I92" s="38">
        <f t="shared" si="52"/>
        <v>8.8684837610320276E-5</v>
      </c>
      <c r="J92" s="38">
        <f t="shared" si="52"/>
        <v>-9.3533817270952688E-4</v>
      </c>
      <c r="K92" s="38">
        <f t="shared" si="52"/>
        <v>-7.2604381142946914E-5</v>
      </c>
      <c r="L92" s="38">
        <f t="shared" si="52"/>
        <v>-4.3963663709149992E-4</v>
      </c>
      <c r="M92" s="38">
        <f t="shared" si="52"/>
        <v>5.316309550855322E-4</v>
      </c>
      <c r="N92" s="38">
        <f t="shared" si="52"/>
        <v>8.0526233673028976E-4</v>
      </c>
      <c r="O92" s="38">
        <f t="shared" si="52"/>
        <v>5.7650090094797863E-4</v>
      </c>
      <c r="P92" s="48">
        <f t="shared" si="52"/>
        <v>7.5025723059147056E-4</v>
      </c>
      <c r="Q92" s="48">
        <f t="shared" si="52"/>
        <v>-1.3139971531770267E-4</v>
      </c>
      <c r="R92" s="47">
        <f t="shared" si="52"/>
        <v>-1.9158193661748153E-2</v>
      </c>
      <c r="S92" s="38">
        <f t="shared" si="52"/>
        <v>1.1853469037488733E-2</v>
      </c>
      <c r="T92" s="38">
        <f t="shared" si="52"/>
        <v>3.5980216387918517E-3</v>
      </c>
      <c r="U92" s="38">
        <f t="shared" si="52"/>
        <v>7.6339627206714555E-2</v>
      </c>
      <c r="V92" s="48">
        <f t="shared" si="52"/>
        <v>-2.9044653930339602E-3</v>
      </c>
      <c r="W92" s="11"/>
      <c r="X92" s="13"/>
      <c r="Y92" s="16"/>
    </row>
  </sheetData>
  <mergeCells count="3">
    <mergeCell ref="C3:P3"/>
    <mergeCell ref="R3:V3"/>
    <mergeCell ref="W3:X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B050C-D8BA-4463-80CF-32D0520F624E}">
  <dimension ref="A1:Y57"/>
  <sheetViews>
    <sheetView zoomScale="60" zoomScaleNormal="60" workbookViewId="0">
      <pane xSplit="2" ySplit="4" topLeftCell="R9" activePane="bottomRight" state="frozen"/>
      <selection activeCell="A4" sqref="A4"/>
      <selection pane="topRight" activeCell="C4" sqref="C4"/>
      <selection pane="bottomLeft" activeCell="A5" sqref="A5"/>
      <selection pane="bottomRight" activeCell="R43" sqref="R43"/>
    </sheetView>
  </sheetViews>
  <sheetFormatPr defaultRowHeight="14.25" x14ac:dyDescent="0.45"/>
  <cols>
    <col min="1" max="1" width="45.73046875" bestFit="1" customWidth="1"/>
    <col min="2" max="2" width="4.9296875" hidden="1" customWidth="1"/>
    <col min="3" max="17" width="14.06640625" hidden="1" customWidth="1"/>
    <col min="18" max="18" width="14.86328125" bestFit="1" customWidth="1"/>
    <col min="19" max="19" width="16.1328125" customWidth="1"/>
    <col min="20" max="20" width="14.3984375" bestFit="1" customWidth="1"/>
    <col min="21" max="22" width="14.06640625" bestFit="1" customWidth="1"/>
    <col min="23" max="23" width="6.59765625" bestFit="1" customWidth="1"/>
    <col min="24" max="24" width="8.06640625" customWidth="1"/>
    <col min="25" max="25" width="21.73046875" bestFit="1" customWidth="1"/>
  </cols>
  <sheetData>
    <row r="1" spans="1:25" ht="21" x14ac:dyDescent="0.65">
      <c r="A1" s="1">
        <f ca="1">NOW()</f>
        <v>45628.659463425924</v>
      </c>
      <c r="B1" s="1"/>
      <c r="F1" s="14" t="s">
        <v>91</v>
      </c>
      <c r="T1" s="145" t="s">
        <v>90</v>
      </c>
    </row>
    <row r="2" spans="1:25" ht="14.65" thickBot="1" x14ac:dyDescent="0.5"/>
    <row r="3" spans="1:25" x14ac:dyDescent="0.45">
      <c r="C3" s="281" t="s">
        <v>2</v>
      </c>
      <c r="D3" s="282"/>
      <c r="E3" s="282"/>
      <c r="F3" s="282"/>
      <c r="G3" s="282"/>
      <c r="H3" s="282"/>
      <c r="I3" s="282"/>
      <c r="J3" s="282"/>
      <c r="K3" s="282"/>
      <c r="L3" s="282"/>
      <c r="M3" s="282"/>
      <c r="N3" s="282"/>
      <c r="O3" s="282"/>
      <c r="P3" s="283"/>
      <c r="Q3" s="19" t="s">
        <v>1</v>
      </c>
      <c r="R3" s="281" t="s">
        <v>3</v>
      </c>
      <c r="S3" s="282"/>
      <c r="T3" s="282"/>
      <c r="U3" s="282"/>
      <c r="V3" s="283"/>
      <c r="W3" s="284" t="s">
        <v>22</v>
      </c>
      <c r="X3" s="285"/>
      <c r="Y3" s="19" t="s">
        <v>24</v>
      </c>
    </row>
    <row r="4" spans="1:25" x14ac:dyDescent="0.45">
      <c r="B4">
        <v>2009</v>
      </c>
      <c r="C4" s="9">
        <v>2010</v>
      </c>
      <c r="D4">
        <v>2011</v>
      </c>
      <c r="E4">
        <v>2012</v>
      </c>
      <c r="F4">
        <v>2013</v>
      </c>
      <c r="G4">
        <v>2014</v>
      </c>
      <c r="H4">
        <v>2015</v>
      </c>
      <c r="I4">
        <v>2016</v>
      </c>
      <c r="J4">
        <v>2017</v>
      </c>
      <c r="K4">
        <v>2018</v>
      </c>
      <c r="L4">
        <v>2019</v>
      </c>
      <c r="M4">
        <v>2020</v>
      </c>
      <c r="N4">
        <v>2021</v>
      </c>
      <c r="O4">
        <v>2022</v>
      </c>
      <c r="P4" s="10">
        <v>2023</v>
      </c>
      <c r="Q4" s="20">
        <v>2024</v>
      </c>
      <c r="R4" s="9">
        <v>2025</v>
      </c>
      <c r="S4">
        <v>2026</v>
      </c>
      <c r="T4">
        <v>2027</v>
      </c>
      <c r="U4">
        <v>2028</v>
      </c>
      <c r="V4" s="10">
        <v>2029</v>
      </c>
      <c r="W4" s="18" t="s">
        <v>2</v>
      </c>
      <c r="X4" s="21" t="s">
        <v>23</v>
      </c>
      <c r="Y4" s="22"/>
    </row>
    <row r="5" spans="1:25" ht="14.65" thickBot="1" x14ac:dyDescent="0.5">
      <c r="A5" s="4" t="s">
        <v>148</v>
      </c>
      <c r="B5" s="3"/>
      <c r="C5" s="62">
        <v>16240245.17</v>
      </c>
      <c r="D5" s="63">
        <v>17165625.190000001</v>
      </c>
      <c r="E5" s="63">
        <v>16790546.890000001</v>
      </c>
      <c r="F5" s="63">
        <v>18161776.739999998</v>
      </c>
      <c r="G5" s="63">
        <v>27534708.84</v>
      </c>
      <c r="H5" s="63">
        <v>34850965.229999997</v>
      </c>
      <c r="I5" s="63">
        <v>35801430.420000002</v>
      </c>
      <c r="J5" s="63">
        <v>35593403.520000003</v>
      </c>
      <c r="K5" s="63">
        <v>36608079.399999999</v>
      </c>
      <c r="L5" s="63">
        <v>35736835.020000003</v>
      </c>
      <c r="M5" s="63">
        <v>31142954.199999999</v>
      </c>
      <c r="N5" s="63">
        <v>32410757.57</v>
      </c>
      <c r="O5" s="63">
        <v>36409289.380000003</v>
      </c>
      <c r="P5" s="64">
        <v>38202929.5</v>
      </c>
      <c r="Q5" s="182">
        <f t="shared" ref="Q5:V5" si="0">ABS(_xlfn.FORECAST.ETS(Q4,$C$5:$P$5,$C$4:$P$4,1,1))</f>
        <v>39905609.252153851</v>
      </c>
      <c r="R5" s="182">
        <f t="shared" si="0"/>
        <v>41608289.004307695</v>
      </c>
      <c r="S5" s="182">
        <f t="shared" si="0"/>
        <v>43310968.756461546</v>
      </c>
      <c r="T5" s="182">
        <f t="shared" si="0"/>
        <v>45013648.508615397</v>
      </c>
      <c r="U5" s="182">
        <f t="shared" si="0"/>
        <v>46716328.260769248</v>
      </c>
      <c r="V5" s="182">
        <f t="shared" si="0"/>
        <v>48419008.012923092</v>
      </c>
      <c r="W5" s="18"/>
      <c r="X5" s="21"/>
      <c r="Y5" s="22"/>
    </row>
    <row r="6" spans="1:25" ht="14.65" hidden="1" thickBot="1" x14ac:dyDescent="0.5">
      <c r="A6" s="4" t="s">
        <v>211</v>
      </c>
      <c r="B6" s="3"/>
      <c r="C6" s="52">
        <f t="shared" ref="C6:V6" si="1">C5/C54</f>
        <v>0.93752410653043317</v>
      </c>
      <c r="D6" s="52">
        <f t="shared" si="1"/>
        <v>0.95364014556307275</v>
      </c>
      <c r="E6" s="52">
        <f t="shared" si="1"/>
        <v>0.95044263501012183</v>
      </c>
      <c r="F6" s="52">
        <f t="shared" si="1"/>
        <v>0.95267090704213842</v>
      </c>
      <c r="G6" s="52">
        <f t="shared" si="1"/>
        <v>0.96438552148506018</v>
      </c>
      <c r="H6" s="52">
        <f t="shared" si="1"/>
        <v>0.97204706494537341</v>
      </c>
      <c r="I6" s="52">
        <f t="shared" si="1"/>
        <v>1</v>
      </c>
      <c r="J6" s="52">
        <f t="shared" si="1"/>
        <v>1</v>
      </c>
      <c r="K6" s="52">
        <f t="shared" si="1"/>
        <v>1</v>
      </c>
      <c r="L6" s="52">
        <f t="shared" si="1"/>
        <v>1</v>
      </c>
      <c r="M6" s="52">
        <f t="shared" si="1"/>
        <v>1</v>
      </c>
      <c r="N6" s="52">
        <f t="shared" si="1"/>
        <v>1</v>
      </c>
      <c r="O6" s="52">
        <f t="shared" si="1"/>
        <v>1</v>
      </c>
      <c r="P6" s="52">
        <f t="shared" si="1"/>
        <v>1</v>
      </c>
      <c r="Q6" s="52">
        <f t="shared" si="1"/>
        <v>1</v>
      </c>
      <c r="R6" s="52">
        <f t="shared" si="1"/>
        <v>0.44910886260096661</v>
      </c>
      <c r="S6" s="52">
        <f t="shared" si="1"/>
        <v>0.39997393283617327</v>
      </c>
      <c r="T6" s="52">
        <f t="shared" si="1"/>
        <v>0.95972107547151819</v>
      </c>
      <c r="U6" s="52">
        <f t="shared" si="1"/>
        <v>0.96081210547670137</v>
      </c>
      <c r="V6" s="52">
        <f t="shared" si="1"/>
        <v>0.96205796141127342</v>
      </c>
      <c r="W6" s="18"/>
      <c r="X6" s="21"/>
      <c r="Y6" s="22"/>
    </row>
    <row r="7" spans="1:25" x14ac:dyDescent="0.45">
      <c r="A7" s="23" t="s">
        <v>37</v>
      </c>
      <c r="B7" s="7"/>
      <c r="C7" s="6"/>
      <c r="D7" s="7"/>
      <c r="E7" s="7"/>
      <c r="F7" s="7"/>
      <c r="G7" s="7"/>
      <c r="H7" s="7"/>
      <c r="I7" s="7"/>
      <c r="J7" s="7"/>
      <c r="K7" s="7"/>
      <c r="L7" s="7"/>
      <c r="M7" s="7"/>
      <c r="N7" s="7"/>
      <c r="O7" s="7"/>
      <c r="P7" s="8"/>
      <c r="Q7" s="15"/>
      <c r="R7" s="6"/>
      <c r="S7" s="7"/>
      <c r="T7" s="7"/>
      <c r="U7" s="7"/>
      <c r="V7" s="8"/>
      <c r="W7" s="6"/>
      <c r="X7" s="8"/>
      <c r="Y7" s="15"/>
    </row>
    <row r="8" spans="1:25" x14ac:dyDescent="0.45">
      <c r="A8" s="151" t="s">
        <v>92</v>
      </c>
      <c r="C8" s="86">
        <v>0</v>
      </c>
      <c r="D8" s="2">
        <v>0</v>
      </c>
      <c r="E8" s="2">
        <v>0</v>
      </c>
      <c r="F8" s="2">
        <v>0</v>
      </c>
      <c r="G8" s="2">
        <v>0</v>
      </c>
      <c r="H8" s="2">
        <v>0</v>
      </c>
      <c r="I8" s="2">
        <v>0</v>
      </c>
      <c r="J8" s="2">
        <v>0</v>
      </c>
      <c r="K8" s="2">
        <v>0</v>
      </c>
      <c r="L8" s="2">
        <v>0</v>
      </c>
      <c r="M8" s="2">
        <v>0</v>
      </c>
      <c r="N8" s="2">
        <v>0</v>
      </c>
      <c r="O8" s="2">
        <v>0</v>
      </c>
      <c r="P8" s="87">
        <v>0</v>
      </c>
      <c r="Q8" s="109">
        <v>0</v>
      </c>
      <c r="R8" s="86">
        <f>R9+R10</f>
        <v>4500000</v>
      </c>
      <c r="S8" s="2">
        <f>S9+S10</f>
        <v>0</v>
      </c>
      <c r="T8" s="2">
        <f>T9+T10</f>
        <v>0</v>
      </c>
      <c r="U8" s="2">
        <f>U9+U10</f>
        <v>0</v>
      </c>
      <c r="V8" s="87">
        <f>V9+V10</f>
        <v>0</v>
      </c>
      <c r="W8" s="9"/>
      <c r="X8" s="10"/>
    </row>
    <row r="9" spans="1:25" x14ac:dyDescent="0.45">
      <c r="A9" s="152" t="s">
        <v>97</v>
      </c>
      <c r="C9" s="86">
        <v>0</v>
      </c>
      <c r="D9" s="2">
        <v>0</v>
      </c>
      <c r="E9" s="2">
        <v>0</v>
      </c>
      <c r="F9" s="2">
        <v>0</v>
      </c>
      <c r="G9" s="2">
        <v>0</v>
      </c>
      <c r="H9" s="2">
        <v>0</v>
      </c>
      <c r="I9" s="2">
        <v>0</v>
      </c>
      <c r="J9" s="2">
        <v>0</v>
      </c>
      <c r="K9" s="2">
        <v>0</v>
      </c>
      <c r="L9" s="2">
        <v>0</v>
      </c>
      <c r="M9" s="2">
        <v>0</v>
      </c>
      <c r="N9" s="2">
        <v>0</v>
      </c>
      <c r="O9" s="2">
        <v>0</v>
      </c>
      <c r="P9" s="87">
        <v>0</v>
      </c>
      <c r="Q9" s="109">
        <v>0</v>
      </c>
      <c r="R9" s="86">
        <f>3000000</f>
        <v>3000000</v>
      </c>
      <c r="S9" s="2">
        <v>0</v>
      </c>
      <c r="T9" s="2"/>
      <c r="U9" s="2"/>
      <c r="V9" s="87"/>
      <c r="W9" s="9"/>
      <c r="X9" s="10"/>
      <c r="Y9" s="96" t="s">
        <v>99</v>
      </c>
    </row>
    <row r="10" spans="1:25" x14ac:dyDescent="0.45">
      <c r="A10" s="152" t="s">
        <v>98</v>
      </c>
      <c r="C10" s="86">
        <v>0</v>
      </c>
      <c r="D10" s="2">
        <v>0</v>
      </c>
      <c r="E10" s="2">
        <v>0</v>
      </c>
      <c r="F10" s="2">
        <v>0</v>
      </c>
      <c r="G10" s="2">
        <v>0</v>
      </c>
      <c r="H10" s="2">
        <v>0</v>
      </c>
      <c r="I10" s="2">
        <v>0</v>
      </c>
      <c r="J10" s="2">
        <v>0</v>
      </c>
      <c r="K10" s="2">
        <v>0</v>
      </c>
      <c r="L10" s="2">
        <v>0</v>
      </c>
      <c r="M10" s="2">
        <v>0</v>
      </c>
      <c r="N10" s="2">
        <v>0</v>
      </c>
      <c r="O10" s="2">
        <v>0</v>
      </c>
      <c r="P10" s="87">
        <v>0</v>
      </c>
      <c r="Q10" s="109">
        <v>0</v>
      </c>
      <c r="R10" s="86">
        <v>1500000</v>
      </c>
      <c r="S10" s="2">
        <v>0</v>
      </c>
      <c r="T10" s="2">
        <v>0</v>
      </c>
      <c r="U10" s="2">
        <v>0</v>
      </c>
      <c r="V10" s="87">
        <v>0</v>
      </c>
      <c r="W10" s="9"/>
      <c r="X10" s="10"/>
      <c r="Y10" s="96" t="s">
        <v>100</v>
      </c>
    </row>
    <row r="11" spans="1:25" x14ac:dyDescent="0.45">
      <c r="A11" s="9" t="s">
        <v>93</v>
      </c>
      <c r="C11" s="86">
        <v>0</v>
      </c>
      <c r="D11" s="2">
        <v>0</v>
      </c>
      <c r="E11" s="2">
        <v>0</v>
      </c>
      <c r="F11" s="2">
        <v>0</v>
      </c>
      <c r="G11" s="2">
        <v>0</v>
      </c>
      <c r="H11" s="2">
        <v>0</v>
      </c>
      <c r="I11" s="2">
        <v>0</v>
      </c>
      <c r="J11" s="2">
        <v>0</v>
      </c>
      <c r="K11" s="2">
        <v>0</v>
      </c>
      <c r="L11" s="2">
        <v>0</v>
      </c>
      <c r="M11" s="2">
        <v>0</v>
      </c>
      <c r="N11" s="2">
        <v>0</v>
      </c>
      <c r="O11" s="2">
        <v>0</v>
      </c>
      <c r="P11" s="87">
        <v>0</v>
      </c>
      <c r="Q11" s="109">
        <v>0</v>
      </c>
      <c r="R11" s="86">
        <v>150000</v>
      </c>
      <c r="S11" s="2">
        <v>0</v>
      </c>
      <c r="T11" s="2">
        <v>0</v>
      </c>
      <c r="U11" s="2">
        <v>0</v>
      </c>
      <c r="V11" s="87">
        <v>0</v>
      </c>
      <c r="W11" s="9"/>
      <c r="X11" s="10"/>
      <c r="Y11" s="96" t="s">
        <v>101</v>
      </c>
    </row>
    <row r="12" spans="1:25" x14ac:dyDescent="0.45">
      <c r="A12" s="9" t="s">
        <v>103</v>
      </c>
      <c r="C12" s="86">
        <f>0.125*'Revenue and Margins'!C6</f>
        <v>1082237.5873783808</v>
      </c>
      <c r="D12" s="2">
        <f>0.125*'Revenue and Margins'!D6</f>
        <v>834482.36615225172</v>
      </c>
      <c r="E12" s="2">
        <f>0.125*'Revenue and Margins'!E6</f>
        <v>875481.83336549497</v>
      </c>
      <c r="F12" s="2">
        <f>0.125*'Revenue and Margins'!F6</f>
        <v>902284.73783903033</v>
      </c>
      <c r="G12" s="2">
        <f>0.125*'Revenue and Margins'!G6</f>
        <v>1016848.8374724045</v>
      </c>
      <c r="H12" s="2">
        <f>0.125*'Revenue and Margins'!H6</f>
        <v>1002201.2336614399</v>
      </c>
      <c r="I12" s="2">
        <f>0.125*'Revenue and Margins'!I6</f>
        <v>0</v>
      </c>
      <c r="J12" s="2">
        <f>0.125*'Revenue and Margins'!J6</f>
        <v>0</v>
      </c>
      <c r="K12" s="2">
        <f>0.125*'Revenue and Margins'!K6</f>
        <v>0</v>
      </c>
      <c r="L12" s="2">
        <f>0.125*'Revenue and Margins'!L6</f>
        <v>0</v>
      </c>
      <c r="M12" s="2">
        <f>0.125*'Revenue and Margins'!M6</f>
        <v>0</v>
      </c>
      <c r="N12" s="2">
        <f>0.125*'Revenue and Margins'!N6</f>
        <v>0</v>
      </c>
      <c r="O12" s="2">
        <f>0.125*'Revenue and Margins'!O6</f>
        <v>0</v>
      </c>
      <c r="P12" s="87">
        <f>0.125*'Revenue and Margins'!P6</f>
        <v>0</v>
      </c>
      <c r="Q12" s="109">
        <f>0.125*'Revenue and Margins'!Q6</f>
        <v>0</v>
      </c>
      <c r="R12" s="86">
        <f>0.15*'Revenue and Margins'!R6</f>
        <v>1794823.4758346006</v>
      </c>
      <c r="S12" s="86">
        <f>0.15*'Revenue and Margins'!S6</f>
        <v>1811009.807798872</v>
      </c>
      <c r="T12" s="86">
        <f>0.15*'Revenue and Margins'!T6</f>
        <v>1827196.1397631431</v>
      </c>
      <c r="U12" s="86">
        <f>0.15*'Revenue and Margins'!U6</f>
        <v>1843382.471727415</v>
      </c>
      <c r="V12" s="86">
        <f>0.15*'Revenue and Margins'!V6</f>
        <v>1859568.8036916864</v>
      </c>
      <c r="W12" s="9"/>
      <c r="X12" s="10"/>
      <c r="Y12" s="96" t="s">
        <v>104</v>
      </c>
    </row>
    <row r="13" spans="1:25" x14ac:dyDescent="0.45">
      <c r="A13" s="9" t="s">
        <v>94</v>
      </c>
      <c r="C13" s="86">
        <f>C8+C11+C12</f>
        <v>1082237.5873783808</v>
      </c>
      <c r="D13" s="2">
        <f t="shared" ref="D13:N13" si="2">D8+D11+D12</f>
        <v>834482.36615225172</v>
      </c>
      <c r="E13" s="2">
        <f t="shared" si="2"/>
        <v>875481.83336549497</v>
      </c>
      <c r="F13" s="2">
        <f t="shared" si="2"/>
        <v>902284.73783903033</v>
      </c>
      <c r="G13" s="2">
        <f t="shared" si="2"/>
        <v>1016848.8374724045</v>
      </c>
      <c r="H13" s="2">
        <f t="shared" si="2"/>
        <v>1002201.2336614399</v>
      </c>
      <c r="I13" s="2">
        <f t="shared" si="2"/>
        <v>0</v>
      </c>
      <c r="J13" s="2">
        <f t="shared" si="2"/>
        <v>0</v>
      </c>
      <c r="K13" s="2">
        <f t="shared" si="2"/>
        <v>0</v>
      </c>
      <c r="L13" s="2">
        <f t="shared" si="2"/>
        <v>0</v>
      </c>
      <c r="M13" s="2">
        <f t="shared" si="2"/>
        <v>0</v>
      </c>
      <c r="N13" s="2">
        <f t="shared" si="2"/>
        <v>0</v>
      </c>
      <c r="O13" s="2">
        <f t="shared" ref="O13:V13" si="3">O8+O11+O12</f>
        <v>0</v>
      </c>
      <c r="P13" s="87">
        <f t="shared" si="3"/>
        <v>0</v>
      </c>
      <c r="Q13" s="109">
        <f t="shared" si="3"/>
        <v>0</v>
      </c>
      <c r="R13" s="86">
        <f t="shared" si="3"/>
        <v>6444823.4758346006</v>
      </c>
      <c r="S13" s="2">
        <f t="shared" si="3"/>
        <v>1811009.807798872</v>
      </c>
      <c r="T13" s="2">
        <f t="shared" si="3"/>
        <v>1827196.1397631431</v>
      </c>
      <c r="U13" s="2">
        <f t="shared" si="3"/>
        <v>1843382.471727415</v>
      </c>
      <c r="V13" s="87">
        <f t="shared" si="3"/>
        <v>1859568.8036916864</v>
      </c>
      <c r="W13" s="173">
        <f>((H13/C13)^(1/5))-1</f>
        <v>-1.5248924228704719E-2</v>
      </c>
      <c r="X13" s="174">
        <f>((V13/R13)^(1/4))-1</f>
        <v>-0.26709057550830062</v>
      </c>
      <c r="Y13" s="96" t="s">
        <v>102</v>
      </c>
    </row>
    <row r="14" spans="1:25" x14ac:dyDescent="0.45">
      <c r="A14" s="9" t="s">
        <v>95</v>
      </c>
      <c r="C14" s="9"/>
      <c r="D14" s="153">
        <f>IF(C13&lt;&gt;0, (D13/C13)-1,0)</f>
        <v>-0.22892867898470692</v>
      </c>
      <c r="E14" s="153">
        <f t="shared" ref="E14:V14" si="4">IF(D13&lt;&gt;0, (E13/D13)-1,0)</f>
        <v>4.913161604874805E-2</v>
      </c>
      <c r="F14" s="153">
        <f t="shared" si="4"/>
        <v>3.0615032148069377E-2</v>
      </c>
      <c r="G14" s="153">
        <f t="shared" si="4"/>
        <v>0.12697111546822226</v>
      </c>
      <c r="H14" s="153">
        <f t="shared" si="4"/>
        <v>-1.4404898025329294E-2</v>
      </c>
      <c r="I14" s="153">
        <f t="shared" si="4"/>
        <v>-1</v>
      </c>
      <c r="J14" s="153">
        <f t="shared" si="4"/>
        <v>0</v>
      </c>
      <c r="K14" s="153">
        <f t="shared" si="4"/>
        <v>0</v>
      </c>
      <c r="L14" s="153">
        <f t="shared" si="4"/>
        <v>0</v>
      </c>
      <c r="M14" s="153">
        <f t="shared" si="4"/>
        <v>0</v>
      </c>
      <c r="N14" s="153">
        <f t="shared" si="4"/>
        <v>0</v>
      </c>
      <c r="O14" s="153">
        <f t="shared" si="4"/>
        <v>0</v>
      </c>
      <c r="P14" s="161">
        <f t="shared" si="4"/>
        <v>0</v>
      </c>
      <c r="Q14" s="167">
        <f t="shared" si="4"/>
        <v>0</v>
      </c>
      <c r="R14" s="171">
        <f t="shared" si="4"/>
        <v>0</v>
      </c>
      <c r="S14" s="153">
        <f t="shared" si="4"/>
        <v>-0.71899776392799541</v>
      </c>
      <c r="T14" s="153">
        <f t="shared" si="4"/>
        <v>8.9377384344175859E-3</v>
      </c>
      <c r="U14" s="153">
        <f t="shared" si="4"/>
        <v>8.8585629161683777E-3</v>
      </c>
      <c r="V14" s="161">
        <f t="shared" si="4"/>
        <v>8.780777843191423E-3</v>
      </c>
      <c r="W14" s="9"/>
      <c r="X14" s="10"/>
      <c r="Y14" s="96"/>
    </row>
    <row r="15" spans="1:25" ht="14.65" thickBot="1" x14ac:dyDescent="0.5">
      <c r="A15" s="11" t="s">
        <v>96</v>
      </c>
      <c r="B15" s="12"/>
      <c r="C15" s="162">
        <f>C13/'Revenue and Margins'!C61</f>
        <v>2.2976217514375726E-2</v>
      </c>
      <c r="D15" s="154">
        <f>D13/'Revenue and Margins'!D61</f>
        <v>2.2976217514375726E-2</v>
      </c>
      <c r="E15" s="154">
        <f>E13/'Revenue and Margins'!E61</f>
        <v>2.2976217514375726E-2</v>
      </c>
      <c r="F15" s="154">
        <f>F13/'Revenue and Margins'!F61</f>
        <v>2.2976217514375726E-2</v>
      </c>
      <c r="G15" s="154">
        <f>G13/'Revenue and Margins'!G61</f>
        <v>2.2976217514375726E-2</v>
      </c>
      <c r="H15" s="154">
        <f>H13/'Revenue and Margins'!H61</f>
        <v>2.2976217514375726E-2</v>
      </c>
      <c r="I15" s="154">
        <f>I13/'Revenue and Margins'!I61</f>
        <v>0</v>
      </c>
      <c r="J15" s="154">
        <f>J13/'Revenue and Margins'!J61</f>
        <v>0</v>
      </c>
      <c r="K15" s="154">
        <f>K13/'Revenue and Margins'!K61</f>
        <v>0</v>
      </c>
      <c r="L15" s="154">
        <f>L13/'Revenue and Margins'!L61</f>
        <v>0</v>
      </c>
      <c r="M15" s="154">
        <f>M13/'Revenue and Margins'!M61</f>
        <v>0</v>
      </c>
      <c r="N15" s="154">
        <f>N13/'Revenue and Margins'!N61</f>
        <v>0</v>
      </c>
      <c r="O15" s="154">
        <f>O13/'Revenue and Margins'!O61</f>
        <v>0</v>
      </c>
      <c r="P15" s="163">
        <f>P13/'Revenue and Margins'!P61</f>
        <v>0</v>
      </c>
      <c r="Q15" s="168">
        <f>Q13/'Revenue and Margins'!Q61</f>
        <v>0</v>
      </c>
      <c r="R15" s="162">
        <f>R13/'Revenue and Margins'!R61</f>
        <v>7.4852307082543743E-2</v>
      </c>
      <c r="S15" s="154">
        <f>S13/'Revenue and Margins'!S61</f>
        <v>1.9647199759643165E-2</v>
      </c>
      <c r="T15" s="154">
        <f>T13/'Revenue and Margins'!T61</f>
        <v>1.9438125311762311E-2</v>
      </c>
      <c r="U15" s="154">
        <f>U13/'Revenue and Margins'!U61</f>
        <v>1.9215507356337619E-2</v>
      </c>
      <c r="V15" s="163">
        <f>V13/'Revenue and Margins'!V61</f>
        <v>1.9100003665157222E-2</v>
      </c>
      <c r="W15" s="11"/>
      <c r="X15" s="13"/>
      <c r="Y15" s="16"/>
    </row>
    <row r="16" spans="1:25" x14ac:dyDescent="0.45">
      <c r="A16" s="23" t="s">
        <v>38</v>
      </c>
      <c r="C16" s="9"/>
      <c r="P16" s="10"/>
      <c r="Q16" s="96"/>
      <c r="R16" s="9"/>
      <c r="V16" s="10"/>
      <c r="W16" s="9"/>
      <c r="X16" s="10"/>
      <c r="Y16" s="96"/>
    </row>
    <row r="17" spans="1:25" x14ac:dyDescent="0.45">
      <c r="A17" s="133" t="s">
        <v>105</v>
      </c>
      <c r="C17" s="164" t="s">
        <v>19</v>
      </c>
      <c r="D17" s="165" t="s">
        <v>19</v>
      </c>
      <c r="E17" s="165" t="s">
        <v>19</v>
      </c>
      <c r="F17" s="165" t="s">
        <v>19</v>
      </c>
      <c r="G17" s="165" t="s">
        <v>19</v>
      </c>
      <c r="H17" s="165" t="s">
        <v>19</v>
      </c>
      <c r="I17" s="165" t="s">
        <v>19</v>
      </c>
      <c r="J17" s="165" t="s">
        <v>19</v>
      </c>
      <c r="K17" s="165" t="s">
        <v>19</v>
      </c>
      <c r="L17" s="165" t="s">
        <v>19</v>
      </c>
      <c r="M17" s="165" t="s">
        <v>19</v>
      </c>
      <c r="N17" s="165" t="s">
        <v>19</v>
      </c>
      <c r="O17" s="165" t="s">
        <v>19</v>
      </c>
      <c r="P17" s="166" t="s">
        <v>19</v>
      </c>
      <c r="Q17" s="169" t="s">
        <v>19</v>
      </c>
      <c r="R17" s="164">
        <v>150000</v>
      </c>
      <c r="S17" s="165">
        <v>0</v>
      </c>
      <c r="T17" s="165">
        <v>0</v>
      </c>
      <c r="U17" s="165">
        <v>0</v>
      </c>
      <c r="V17" s="166">
        <v>0</v>
      </c>
      <c r="W17" s="9"/>
      <c r="X17" s="10"/>
      <c r="Y17" s="96" t="s">
        <v>115</v>
      </c>
    </row>
    <row r="18" spans="1:25" x14ac:dyDescent="0.45">
      <c r="A18" s="133" t="s">
        <v>106</v>
      </c>
      <c r="C18" s="164" t="s">
        <v>19</v>
      </c>
      <c r="D18" s="165" t="s">
        <v>19</v>
      </c>
      <c r="E18" s="165" t="s">
        <v>19</v>
      </c>
      <c r="F18" s="165" t="s">
        <v>19</v>
      </c>
      <c r="G18" s="165" t="s">
        <v>19</v>
      </c>
      <c r="H18" s="165" t="s">
        <v>19</v>
      </c>
      <c r="I18" s="165" t="s">
        <v>19</v>
      </c>
      <c r="J18" s="165" t="s">
        <v>19</v>
      </c>
      <c r="K18" s="165" t="s">
        <v>19</v>
      </c>
      <c r="L18" s="165" t="s">
        <v>19</v>
      </c>
      <c r="M18" s="165" t="s">
        <v>19</v>
      </c>
      <c r="N18" s="165" t="s">
        <v>19</v>
      </c>
      <c r="O18" s="165" t="s">
        <v>19</v>
      </c>
      <c r="P18" s="166" t="s">
        <v>19</v>
      </c>
      <c r="Q18" s="169" t="s">
        <v>19</v>
      </c>
      <c r="R18" s="164">
        <v>5000000</v>
      </c>
      <c r="S18" s="165">
        <v>0</v>
      </c>
      <c r="T18" s="165">
        <v>0</v>
      </c>
      <c r="U18" s="165">
        <v>0</v>
      </c>
      <c r="V18" s="166">
        <v>0</v>
      </c>
      <c r="W18" s="9"/>
      <c r="X18" s="10"/>
      <c r="Y18" s="96" t="s">
        <v>116</v>
      </c>
    </row>
    <row r="19" spans="1:25" x14ac:dyDescent="0.45">
      <c r="A19" s="134" t="s">
        <v>109</v>
      </c>
      <c r="C19" s="164">
        <f>C20+C24</f>
        <v>0</v>
      </c>
      <c r="D19" s="165">
        <f t="shared" ref="D19:V19" si="5">D20+D24</f>
        <v>0</v>
      </c>
      <c r="E19" s="165">
        <f t="shared" si="5"/>
        <v>0</v>
      </c>
      <c r="F19" s="165">
        <f t="shared" si="5"/>
        <v>0</v>
      </c>
      <c r="G19" s="165">
        <f t="shared" si="5"/>
        <v>0</v>
      </c>
      <c r="H19" s="165">
        <f t="shared" si="5"/>
        <v>0</v>
      </c>
      <c r="I19" s="165">
        <f t="shared" si="5"/>
        <v>0</v>
      </c>
      <c r="J19" s="165">
        <f t="shared" si="5"/>
        <v>0</v>
      </c>
      <c r="K19" s="165">
        <f t="shared" si="5"/>
        <v>0</v>
      </c>
      <c r="L19" s="165">
        <f t="shared" si="5"/>
        <v>0</v>
      </c>
      <c r="M19" s="165">
        <f t="shared" si="5"/>
        <v>0</v>
      </c>
      <c r="N19" s="165">
        <f t="shared" si="5"/>
        <v>0</v>
      </c>
      <c r="O19" s="165">
        <f t="shared" si="5"/>
        <v>0</v>
      </c>
      <c r="P19" s="166">
        <f t="shared" si="5"/>
        <v>0</v>
      </c>
      <c r="Q19" s="169">
        <f t="shared" si="5"/>
        <v>0</v>
      </c>
      <c r="R19" s="164">
        <f t="shared" si="5"/>
        <v>33540220</v>
      </c>
      <c r="S19" s="165">
        <f t="shared" si="5"/>
        <v>62969500</v>
      </c>
      <c r="T19" s="165">
        <f t="shared" si="5"/>
        <v>0</v>
      </c>
      <c r="U19" s="165">
        <f t="shared" si="5"/>
        <v>0</v>
      </c>
      <c r="V19" s="166">
        <f t="shared" si="5"/>
        <v>0</v>
      </c>
      <c r="W19" s="9"/>
      <c r="X19" s="10"/>
      <c r="Y19" s="96"/>
    </row>
    <row r="20" spans="1:25" x14ac:dyDescent="0.45">
      <c r="A20" s="134" t="s">
        <v>107</v>
      </c>
      <c r="C20" s="164">
        <f>SUM(C21:C23)</f>
        <v>0</v>
      </c>
      <c r="D20" s="165">
        <f t="shared" ref="D20:V20" si="6">SUM(D21:D23)</f>
        <v>0</v>
      </c>
      <c r="E20" s="165">
        <f t="shared" si="6"/>
        <v>0</v>
      </c>
      <c r="F20" s="165">
        <f t="shared" si="6"/>
        <v>0</v>
      </c>
      <c r="G20" s="165">
        <f t="shared" si="6"/>
        <v>0</v>
      </c>
      <c r="H20" s="165">
        <f t="shared" si="6"/>
        <v>0</v>
      </c>
      <c r="I20" s="165">
        <f t="shared" si="6"/>
        <v>0</v>
      </c>
      <c r="J20" s="165">
        <f t="shared" si="6"/>
        <v>0</v>
      </c>
      <c r="K20" s="165">
        <f t="shared" si="6"/>
        <v>0</v>
      </c>
      <c r="L20" s="165">
        <f t="shared" si="6"/>
        <v>0</v>
      </c>
      <c r="M20" s="165">
        <f t="shared" si="6"/>
        <v>0</v>
      </c>
      <c r="N20" s="165">
        <f t="shared" si="6"/>
        <v>0</v>
      </c>
      <c r="O20" s="165">
        <f t="shared" si="6"/>
        <v>0</v>
      </c>
      <c r="P20" s="166">
        <f t="shared" si="6"/>
        <v>0</v>
      </c>
      <c r="Q20" s="169">
        <f t="shared" si="6"/>
        <v>0</v>
      </c>
      <c r="R20" s="164">
        <f t="shared" si="6"/>
        <v>12840000.000000002</v>
      </c>
      <c r="S20" s="165">
        <f>SUM(S21:S23)</f>
        <v>45796000</v>
      </c>
      <c r="T20" s="165">
        <f t="shared" si="6"/>
        <v>0</v>
      </c>
      <c r="U20" s="165">
        <f t="shared" si="6"/>
        <v>0</v>
      </c>
      <c r="V20" s="166">
        <f t="shared" si="6"/>
        <v>0</v>
      </c>
      <c r="W20" s="9"/>
      <c r="X20" s="10"/>
      <c r="Y20" s="96"/>
    </row>
    <row r="21" spans="1:25" x14ac:dyDescent="0.45">
      <c r="A21" s="133" t="s">
        <v>61</v>
      </c>
      <c r="C21" s="164" t="s">
        <v>19</v>
      </c>
      <c r="D21" s="165" t="s">
        <v>19</v>
      </c>
      <c r="E21" s="165" t="s">
        <v>19</v>
      </c>
      <c r="F21" s="165" t="s">
        <v>19</v>
      </c>
      <c r="G21" s="165" t="s">
        <v>19</v>
      </c>
      <c r="H21" s="165" t="s">
        <v>19</v>
      </c>
      <c r="I21" s="165" t="s">
        <v>19</v>
      </c>
      <c r="J21" s="165" t="s">
        <v>19</v>
      </c>
      <c r="K21" s="165" t="s">
        <v>19</v>
      </c>
      <c r="L21" s="165" t="s">
        <v>19</v>
      </c>
      <c r="M21" s="165" t="s">
        <v>19</v>
      </c>
      <c r="N21" s="165" t="s">
        <v>19</v>
      </c>
      <c r="O21" s="165" t="s">
        <v>19</v>
      </c>
      <c r="P21" s="166" t="s">
        <v>19</v>
      </c>
      <c r="Q21" s="169" t="s">
        <v>19</v>
      </c>
      <c r="S21" s="164">
        <f>20000*100*10*(1.07)^2</f>
        <v>22898000</v>
      </c>
      <c r="T21" s="165">
        <v>0</v>
      </c>
      <c r="U21" s="165">
        <v>0</v>
      </c>
      <c r="V21" s="166">
        <v>0</v>
      </c>
      <c r="W21" s="9"/>
      <c r="X21" s="10"/>
      <c r="Y21" s="96"/>
    </row>
    <row r="22" spans="1:25" ht="14.65" thickBot="1" x14ac:dyDescent="0.5">
      <c r="A22" s="133" t="s">
        <v>62</v>
      </c>
      <c r="C22" s="164" t="s">
        <v>19</v>
      </c>
      <c r="D22" s="165" t="s">
        <v>19</v>
      </c>
      <c r="E22" s="165" t="s">
        <v>19</v>
      </c>
      <c r="F22" s="165" t="s">
        <v>19</v>
      </c>
      <c r="G22" s="165" t="s">
        <v>19</v>
      </c>
      <c r="H22" s="165" t="s">
        <v>19</v>
      </c>
      <c r="I22" s="165" t="s">
        <v>19</v>
      </c>
      <c r="J22" s="165" t="s">
        <v>19</v>
      </c>
      <c r="K22" s="165" t="s">
        <v>19</v>
      </c>
      <c r="L22" s="165" t="s">
        <v>19</v>
      </c>
      <c r="M22" s="165" t="s">
        <v>19</v>
      </c>
      <c r="N22" s="165" t="s">
        <v>19</v>
      </c>
      <c r="O22" s="165" t="s">
        <v>19</v>
      </c>
      <c r="P22" s="166" t="s">
        <v>19</v>
      </c>
      <c r="Q22" s="169" t="s">
        <v>19</v>
      </c>
      <c r="R22" s="72">
        <f>15000*1.07*200*4</f>
        <v>12840000.000000002</v>
      </c>
      <c r="T22" s="165">
        <v>0</v>
      </c>
      <c r="U22" s="165">
        <v>0</v>
      </c>
      <c r="V22" s="166">
        <v>0</v>
      </c>
      <c r="W22" s="9"/>
      <c r="X22" s="10"/>
      <c r="Y22" s="96"/>
    </row>
    <row r="23" spans="1:25" x14ac:dyDescent="0.45">
      <c r="A23" s="155" t="s">
        <v>63</v>
      </c>
      <c r="C23" s="164" t="s">
        <v>19</v>
      </c>
      <c r="D23" s="165" t="s">
        <v>19</v>
      </c>
      <c r="E23" s="165" t="s">
        <v>19</v>
      </c>
      <c r="F23" s="165" t="s">
        <v>19</v>
      </c>
      <c r="G23" s="165" t="s">
        <v>19</v>
      </c>
      <c r="H23" s="165" t="s">
        <v>19</v>
      </c>
      <c r="I23" s="165" t="s">
        <v>19</v>
      </c>
      <c r="J23" s="165" t="s">
        <v>19</v>
      </c>
      <c r="K23" s="165" t="s">
        <v>19</v>
      </c>
      <c r="L23" s="165" t="s">
        <v>19</v>
      </c>
      <c r="M23" s="165" t="s">
        <v>19</v>
      </c>
      <c r="N23" s="165" t="s">
        <v>19</v>
      </c>
      <c r="O23" s="165" t="s">
        <v>19</v>
      </c>
      <c r="P23" s="166" t="s">
        <v>19</v>
      </c>
      <c r="Q23" s="169" t="s">
        <v>19</v>
      </c>
      <c r="R23" s="164"/>
      <c r="S23" s="72">
        <f>20000*250*4*(1.07)^2</f>
        <v>22898000</v>
      </c>
      <c r="T23" s="165">
        <v>0</v>
      </c>
      <c r="U23" s="165">
        <v>0</v>
      </c>
      <c r="V23" s="166">
        <v>0</v>
      </c>
      <c r="W23" s="9"/>
      <c r="X23" s="10"/>
      <c r="Y23" s="96"/>
    </row>
    <row r="24" spans="1:25" x14ac:dyDescent="0.45">
      <c r="A24" s="156" t="s">
        <v>108</v>
      </c>
      <c r="C24" s="164">
        <f>SUM(C25:C27)</f>
        <v>0</v>
      </c>
      <c r="D24" s="165">
        <f t="shared" ref="D24:V24" si="7">SUM(D25:D27)</f>
        <v>0</v>
      </c>
      <c r="E24" s="165">
        <f t="shared" si="7"/>
        <v>0</v>
      </c>
      <c r="F24" s="165">
        <f t="shared" si="7"/>
        <v>0</v>
      </c>
      <c r="G24" s="165">
        <f t="shared" si="7"/>
        <v>0</v>
      </c>
      <c r="H24" s="165">
        <f t="shared" si="7"/>
        <v>0</v>
      </c>
      <c r="I24" s="165">
        <f t="shared" si="7"/>
        <v>0</v>
      </c>
      <c r="J24" s="165">
        <f t="shared" si="7"/>
        <v>0</v>
      </c>
      <c r="K24" s="165">
        <f t="shared" si="7"/>
        <v>0</v>
      </c>
      <c r="L24" s="165">
        <f t="shared" si="7"/>
        <v>0</v>
      </c>
      <c r="M24" s="165">
        <f t="shared" si="7"/>
        <v>0</v>
      </c>
      <c r="N24" s="165">
        <f t="shared" si="7"/>
        <v>0</v>
      </c>
      <c r="O24" s="165">
        <f t="shared" si="7"/>
        <v>0</v>
      </c>
      <c r="P24" s="166">
        <f t="shared" si="7"/>
        <v>0</v>
      </c>
      <c r="Q24" s="169">
        <f t="shared" si="7"/>
        <v>0</v>
      </c>
      <c r="R24" s="164">
        <f>SUM(R25:R27)</f>
        <v>20700220</v>
      </c>
      <c r="S24" s="165">
        <f>SUM(S25:S27)</f>
        <v>17173500</v>
      </c>
      <c r="T24" s="165">
        <f t="shared" si="7"/>
        <v>0</v>
      </c>
      <c r="U24" s="165">
        <f t="shared" si="7"/>
        <v>0</v>
      </c>
      <c r="V24" s="166">
        <f t="shared" si="7"/>
        <v>0</v>
      </c>
      <c r="W24" s="9"/>
      <c r="X24" s="10"/>
      <c r="Y24" s="96"/>
    </row>
    <row r="25" spans="1:25" x14ac:dyDescent="0.45">
      <c r="A25" s="157" t="s">
        <v>61</v>
      </c>
      <c r="C25" s="164" t="s">
        <v>19</v>
      </c>
      <c r="D25" s="165" t="s">
        <v>19</v>
      </c>
      <c r="E25" s="165" t="s">
        <v>19</v>
      </c>
      <c r="F25" s="165" t="s">
        <v>19</v>
      </c>
      <c r="G25" s="165" t="s">
        <v>19</v>
      </c>
      <c r="H25" s="165" t="s">
        <v>19</v>
      </c>
      <c r="I25" s="165" t="s">
        <v>19</v>
      </c>
      <c r="J25" s="165" t="s">
        <v>19</v>
      </c>
      <c r="K25" s="165" t="s">
        <v>19</v>
      </c>
      <c r="L25" s="165" t="s">
        <v>19</v>
      </c>
      <c r="M25" s="165" t="s">
        <v>19</v>
      </c>
      <c r="N25" s="165" t="s">
        <v>19</v>
      </c>
      <c r="O25" s="165" t="s">
        <v>19</v>
      </c>
      <c r="P25" s="166" t="s">
        <v>19</v>
      </c>
      <c r="Q25" s="169" t="s">
        <v>19</v>
      </c>
      <c r="R25" s="72">
        <f>9338*100*10*1.07</f>
        <v>9991660</v>
      </c>
      <c r="T25" s="165">
        <v>0</v>
      </c>
      <c r="U25" s="165">
        <v>0</v>
      </c>
      <c r="V25" s="166">
        <v>0</v>
      </c>
      <c r="W25" s="9"/>
      <c r="X25" s="10"/>
      <c r="Y25" s="96"/>
    </row>
    <row r="26" spans="1:25" x14ac:dyDescent="0.45">
      <c r="A26" s="157" t="s">
        <v>62</v>
      </c>
      <c r="C26" s="164" t="s">
        <v>19</v>
      </c>
      <c r="D26" s="165" t="s">
        <v>19</v>
      </c>
      <c r="E26" s="165" t="s">
        <v>19</v>
      </c>
      <c r="F26" s="165" t="s">
        <v>19</v>
      </c>
      <c r="G26" s="165" t="s">
        <v>19</v>
      </c>
      <c r="H26" s="165" t="s">
        <v>19</v>
      </c>
      <c r="I26" s="165" t="s">
        <v>19</v>
      </c>
      <c r="J26" s="165" t="s">
        <v>19</v>
      </c>
      <c r="K26" s="165" t="s">
        <v>19</v>
      </c>
      <c r="L26" s="165" t="s">
        <v>19</v>
      </c>
      <c r="M26" s="165" t="s">
        <v>19</v>
      </c>
      <c r="N26" s="165" t="s">
        <v>19</v>
      </c>
      <c r="O26" s="165" t="s">
        <v>19</v>
      </c>
      <c r="P26" s="166" t="s">
        <v>19</v>
      </c>
      <c r="Q26" s="169" t="s">
        <v>19</v>
      </c>
      <c r="R26" s="71">
        <f>12510*200*4*1.07</f>
        <v>10708560</v>
      </c>
      <c r="S26" s="165">
        <v>0</v>
      </c>
      <c r="T26" s="165">
        <v>0</v>
      </c>
      <c r="U26" s="165">
        <v>0</v>
      </c>
      <c r="V26" s="166">
        <v>0</v>
      </c>
      <c r="W26" s="9"/>
      <c r="X26" s="10"/>
      <c r="Y26" s="96"/>
    </row>
    <row r="27" spans="1:25" x14ac:dyDescent="0.45">
      <c r="A27" s="157" t="s">
        <v>63</v>
      </c>
      <c r="C27" s="164" t="s">
        <v>19</v>
      </c>
      <c r="D27" s="165" t="s">
        <v>19</v>
      </c>
      <c r="E27" s="165" t="s">
        <v>19</v>
      </c>
      <c r="F27" s="165" t="s">
        <v>19</v>
      </c>
      <c r="G27" s="165" t="s">
        <v>19</v>
      </c>
      <c r="H27" s="165" t="s">
        <v>19</v>
      </c>
      <c r="I27" s="165" t="s">
        <v>19</v>
      </c>
      <c r="J27" s="165" t="s">
        <v>19</v>
      </c>
      <c r="K27" s="165" t="s">
        <v>19</v>
      </c>
      <c r="L27" s="165" t="s">
        <v>19</v>
      </c>
      <c r="M27" s="165" t="s">
        <v>19</v>
      </c>
      <c r="N27" s="165" t="s">
        <v>19</v>
      </c>
      <c r="O27" s="165" t="s">
        <v>19</v>
      </c>
      <c r="P27" s="166" t="s">
        <v>19</v>
      </c>
      <c r="Q27" s="169" t="s">
        <v>19</v>
      </c>
      <c r="S27" s="71">
        <f>15000*250*4*(1.07)^2</f>
        <v>17173500</v>
      </c>
      <c r="T27" s="165">
        <v>0</v>
      </c>
      <c r="U27" s="165">
        <v>0</v>
      </c>
      <c r="V27" s="166">
        <v>0</v>
      </c>
      <c r="W27" s="9"/>
      <c r="X27" s="10"/>
      <c r="Y27" s="96"/>
    </row>
    <row r="28" spans="1:25" x14ac:dyDescent="0.45">
      <c r="A28" s="157" t="s">
        <v>110</v>
      </c>
      <c r="C28" s="164" t="s">
        <v>19</v>
      </c>
      <c r="D28" s="165" t="s">
        <v>19</v>
      </c>
      <c r="E28" s="165" t="s">
        <v>19</v>
      </c>
      <c r="F28" s="165" t="s">
        <v>19</v>
      </c>
      <c r="G28" s="165" t="s">
        <v>19</v>
      </c>
      <c r="H28" s="165" t="s">
        <v>19</v>
      </c>
      <c r="I28" s="165" t="s">
        <v>19</v>
      </c>
      <c r="J28" s="165" t="s">
        <v>19</v>
      </c>
      <c r="K28" s="165" t="s">
        <v>19</v>
      </c>
      <c r="L28" s="165" t="s">
        <v>19</v>
      </c>
      <c r="M28" s="165" t="s">
        <v>19</v>
      </c>
      <c r="N28" s="165" t="s">
        <v>19</v>
      </c>
      <c r="O28" s="165" t="s">
        <v>19</v>
      </c>
      <c r="P28" s="166" t="s">
        <v>19</v>
      </c>
      <c r="Q28" s="169" t="s">
        <v>19</v>
      </c>
      <c r="R28" s="164">
        <v>100000</v>
      </c>
      <c r="S28" s="165">
        <v>80000</v>
      </c>
      <c r="T28" s="165">
        <v>40000</v>
      </c>
      <c r="U28" s="165">
        <v>40000</v>
      </c>
      <c r="V28" s="166">
        <v>40000</v>
      </c>
      <c r="W28" s="9"/>
      <c r="X28" s="10"/>
      <c r="Y28" s="96" t="s">
        <v>117</v>
      </c>
    </row>
    <row r="29" spans="1:25" x14ac:dyDescent="0.45">
      <c r="A29" s="157" t="s">
        <v>111</v>
      </c>
      <c r="C29" s="164" t="s">
        <v>19</v>
      </c>
      <c r="D29" s="165" t="s">
        <v>19</v>
      </c>
      <c r="E29" s="165" t="s">
        <v>19</v>
      </c>
      <c r="F29" s="165" t="s">
        <v>19</v>
      </c>
      <c r="G29" s="165" t="s">
        <v>19</v>
      </c>
      <c r="H29" s="165" t="s">
        <v>19</v>
      </c>
      <c r="I29" s="165" t="s">
        <v>19</v>
      </c>
      <c r="J29" s="165" t="s">
        <v>19</v>
      </c>
      <c r="K29" s="165" t="s">
        <v>19</v>
      </c>
      <c r="L29" s="165" t="s">
        <v>19</v>
      </c>
      <c r="M29" s="165" t="s">
        <v>19</v>
      </c>
      <c r="N29" s="165" t="s">
        <v>19</v>
      </c>
      <c r="O29" s="165" t="s">
        <v>19</v>
      </c>
      <c r="P29" s="166" t="s">
        <v>19</v>
      </c>
      <c r="Q29" s="169" t="s">
        <v>19</v>
      </c>
      <c r="R29" s="164">
        <v>80000</v>
      </c>
      <c r="S29" s="165">
        <v>40000</v>
      </c>
      <c r="T29" s="165">
        <v>10000</v>
      </c>
      <c r="U29" s="165">
        <v>10000</v>
      </c>
      <c r="V29" s="166">
        <v>0</v>
      </c>
      <c r="W29" s="9"/>
      <c r="X29" s="10"/>
      <c r="Y29" s="96" t="s">
        <v>115</v>
      </c>
    </row>
    <row r="30" spans="1:25" x14ac:dyDescent="0.45">
      <c r="A30" s="157" t="s">
        <v>112</v>
      </c>
      <c r="C30" s="164" t="s">
        <v>19</v>
      </c>
      <c r="D30" s="165" t="s">
        <v>19</v>
      </c>
      <c r="E30" s="165" t="s">
        <v>19</v>
      </c>
      <c r="F30" s="165" t="s">
        <v>19</v>
      </c>
      <c r="G30" s="165" t="s">
        <v>19</v>
      </c>
      <c r="H30" s="165" t="s">
        <v>19</v>
      </c>
      <c r="I30" s="165" t="s">
        <v>19</v>
      </c>
      <c r="J30" s="165" t="s">
        <v>19</v>
      </c>
      <c r="K30" s="165" t="s">
        <v>19</v>
      </c>
      <c r="L30" s="165" t="s">
        <v>19</v>
      </c>
      <c r="M30" s="165" t="s">
        <v>19</v>
      </c>
      <c r="N30" s="165" t="s">
        <v>19</v>
      </c>
      <c r="O30" s="165" t="s">
        <v>19</v>
      </c>
      <c r="P30" s="166" t="s">
        <v>19</v>
      </c>
      <c r="Q30" s="169" t="s">
        <v>19</v>
      </c>
      <c r="R30" s="164">
        <v>50000</v>
      </c>
      <c r="S30" s="165">
        <v>50000</v>
      </c>
      <c r="T30" s="165">
        <v>0</v>
      </c>
      <c r="U30" s="165">
        <v>0</v>
      </c>
      <c r="V30" s="166">
        <v>0</v>
      </c>
      <c r="W30" s="9"/>
      <c r="X30" s="10"/>
      <c r="Y30" s="96" t="s">
        <v>118</v>
      </c>
    </row>
    <row r="31" spans="1:25" x14ac:dyDescent="0.45">
      <c r="A31" s="157" t="s">
        <v>113</v>
      </c>
      <c r="C31" s="164" t="s">
        <v>19</v>
      </c>
      <c r="D31" s="165" t="s">
        <v>19</v>
      </c>
      <c r="E31" s="165" t="s">
        <v>19</v>
      </c>
      <c r="F31" s="165" t="s">
        <v>19</v>
      </c>
      <c r="G31" s="165" t="s">
        <v>19</v>
      </c>
      <c r="H31" s="165" t="s">
        <v>19</v>
      </c>
      <c r="I31" s="165" t="s">
        <v>19</v>
      </c>
      <c r="J31" s="165" t="s">
        <v>19</v>
      </c>
      <c r="K31" s="165" t="s">
        <v>19</v>
      </c>
      <c r="L31" s="165" t="s">
        <v>19</v>
      </c>
      <c r="M31" s="165" t="s">
        <v>19</v>
      </c>
      <c r="N31" s="165" t="s">
        <v>19</v>
      </c>
      <c r="O31" s="165" t="s">
        <v>19</v>
      </c>
      <c r="P31" s="166" t="s">
        <v>19</v>
      </c>
      <c r="Q31" s="169" t="s">
        <v>19</v>
      </c>
      <c r="R31" s="164">
        <v>25000</v>
      </c>
      <c r="S31" s="165">
        <v>20000</v>
      </c>
      <c r="T31" s="165">
        <v>10000</v>
      </c>
      <c r="U31" s="165">
        <v>10000</v>
      </c>
      <c r="V31" s="166">
        <v>10000</v>
      </c>
      <c r="W31" s="9"/>
      <c r="X31" s="10"/>
      <c r="Y31" s="96" t="s">
        <v>119</v>
      </c>
    </row>
    <row r="32" spans="1:25" x14ac:dyDescent="0.45">
      <c r="A32" s="96" t="s">
        <v>114</v>
      </c>
      <c r="C32" s="86">
        <f>SUM(C17,C18,C19,C28,C29,C30,C31)</f>
        <v>0</v>
      </c>
      <c r="D32" s="2">
        <f t="shared" ref="D32:V32" si="8">SUM(D17,D18,D19,D28,D29,D30,D31)</f>
        <v>0</v>
      </c>
      <c r="E32" s="2">
        <f t="shared" si="8"/>
        <v>0</v>
      </c>
      <c r="F32" s="2">
        <f t="shared" si="8"/>
        <v>0</v>
      </c>
      <c r="G32" s="2">
        <f t="shared" si="8"/>
        <v>0</v>
      </c>
      <c r="H32" s="2">
        <f t="shared" si="8"/>
        <v>0</v>
      </c>
      <c r="I32" s="2">
        <f t="shared" si="8"/>
        <v>0</v>
      </c>
      <c r="J32" s="2">
        <f t="shared" si="8"/>
        <v>0</v>
      </c>
      <c r="K32" s="2">
        <f t="shared" si="8"/>
        <v>0</v>
      </c>
      <c r="L32" s="2">
        <f t="shared" si="8"/>
        <v>0</v>
      </c>
      <c r="M32" s="2">
        <f t="shared" si="8"/>
        <v>0</v>
      </c>
      <c r="N32" s="2">
        <f t="shared" si="8"/>
        <v>0</v>
      </c>
      <c r="O32" s="2">
        <f t="shared" si="8"/>
        <v>0</v>
      </c>
      <c r="P32" s="87">
        <f t="shared" si="8"/>
        <v>0</v>
      </c>
      <c r="Q32" s="109">
        <f t="shared" si="8"/>
        <v>0</v>
      </c>
      <c r="R32" s="86">
        <f>SUM(R17,R18,R19,R28,R29,R30,R31)</f>
        <v>38945220</v>
      </c>
      <c r="S32" s="2">
        <f t="shared" si="8"/>
        <v>63159500</v>
      </c>
      <c r="T32" s="2">
        <f t="shared" si="8"/>
        <v>60000</v>
      </c>
      <c r="U32" s="2">
        <f t="shared" si="8"/>
        <v>60000</v>
      </c>
      <c r="V32" s="87">
        <f t="shared" si="8"/>
        <v>50000</v>
      </c>
      <c r="W32" s="173">
        <f>IF(C296&lt;&gt;0,((H32/C32)^(1/5))-1,0)</f>
        <v>0</v>
      </c>
      <c r="X32" s="174">
        <f>((V32/R32)^(1/4))-1</f>
        <v>-0.81070943797094275</v>
      </c>
      <c r="Y32" s="96"/>
    </row>
    <row r="33" spans="1:25" x14ac:dyDescent="0.45">
      <c r="A33" s="96" t="s">
        <v>95</v>
      </c>
      <c r="C33" s="9"/>
      <c r="D33" s="153">
        <f>IF(C32&lt;&gt;0, (D32/C32)-1,0)</f>
        <v>0</v>
      </c>
      <c r="E33" s="153">
        <f t="shared" ref="E33:V33" si="9">IF(D32&lt;&gt;0, (E32/D32)-1,0)</f>
        <v>0</v>
      </c>
      <c r="F33" s="153">
        <f t="shared" si="9"/>
        <v>0</v>
      </c>
      <c r="G33" s="153">
        <f t="shared" si="9"/>
        <v>0</v>
      </c>
      <c r="H33" s="153">
        <f t="shared" si="9"/>
        <v>0</v>
      </c>
      <c r="I33" s="153">
        <f t="shared" si="9"/>
        <v>0</v>
      </c>
      <c r="J33" s="153">
        <f t="shared" si="9"/>
        <v>0</v>
      </c>
      <c r="K33" s="153">
        <f t="shared" si="9"/>
        <v>0</v>
      </c>
      <c r="L33" s="153">
        <f t="shared" si="9"/>
        <v>0</v>
      </c>
      <c r="M33" s="153">
        <f t="shared" si="9"/>
        <v>0</v>
      </c>
      <c r="N33" s="153">
        <f t="shared" si="9"/>
        <v>0</v>
      </c>
      <c r="O33" s="153">
        <f t="shared" si="9"/>
        <v>0</v>
      </c>
      <c r="P33" s="161">
        <f t="shared" si="9"/>
        <v>0</v>
      </c>
      <c r="Q33" s="167">
        <f t="shared" si="9"/>
        <v>0</v>
      </c>
      <c r="R33" s="171">
        <f t="shared" si="9"/>
        <v>0</v>
      </c>
      <c r="S33" s="153">
        <f t="shared" si="9"/>
        <v>0.62175229720104297</v>
      </c>
      <c r="T33" s="153">
        <f t="shared" si="9"/>
        <v>-0.9990500241452196</v>
      </c>
      <c r="U33" s="153">
        <f t="shared" si="9"/>
        <v>0</v>
      </c>
      <c r="V33" s="161">
        <f t="shared" si="9"/>
        <v>-0.16666666666666663</v>
      </c>
      <c r="W33" s="9"/>
      <c r="X33" s="10"/>
      <c r="Y33" s="96"/>
    </row>
    <row r="34" spans="1:25" ht="14.65" thickBot="1" x14ac:dyDescent="0.5">
      <c r="A34" s="16" t="s">
        <v>96</v>
      </c>
      <c r="C34" s="162">
        <f>C32/'Revenue and Margins'!C61</f>
        <v>0</v>
      </c>
      <c r="D34" s="154">
        <f>D32/'Revenue and Margins'!D61</f>
        <v>0</v>
      </c>
      <c r="E34" s="154">
        <f>E32/'Revenue and Margins'!E61</f>
        <v>0</v>
      </c>
      <c r="F34" s="154">
        <f>F32/'Revenue and Margins'!F61</f>
        <v>0</v>
      </c>
      <c r="G34" s="154">
        <f>G32/'Revenue and Margins'!G61</f>
        <v>0</v>
      </c>
      <c r="H34" s="154">
        <f>H32/'Revenue and Margins'!H61</f>
        <v>0</v>
      </c>
      <c r="I34" s="154">
        <f>I32/'Revenue and Margins'!I61</f>
        <v>0</v>
      </c>
      <c r="J34" s="154">
        <f>J32/'Revenue and Margins'!J61</f>
        <v>0</v>
      </c>
      <c r="K34" s="154">
        <f>K32/'Revenue and Margins'!K61</f>
        <v>0</v>
      </c>
      <c r="L34" s="154">
        <f>L32/'Revenue and Margins'!L61</f>
        <v>0</v>
      </c>
      <c r="M34" s="154">
        <f>M32/'Revenue and Margins'!M61</f>
        <v>0</v>
      </c>
      <c r="N34" s="154">
        <f>N32/'Revenue and Margins'!N61</f>
        <v>0</v>
      </c>
      <c r="O34" s="154">
        <f>O32/'Revenue and Margins'!O61</f>
        <v>0</v>
      </c>
      <c r="P34" s="163">
        <f>P32/'Revenue and Margins'!P61</f>
        <v>0</v>
      </c>
      <c r="Q34" s="168">
        <f>Q32/'Revenue and Margins'!Q61</f>
        <v>0</v>
      </c>
      <c r="R34" s="162">
        <f>R32/'Revenue and Margins'!R61</f>
        <v>0.45232263967628922</v>
      </c>
      <c r="S34" s="154">
        <f>S32/'Revenue and Margins'!S61</f>
        <v>0.68520187349366124</v>
      </c>
      <c r="T34" s="154">
        <f>T32/'Revenue and Margins'!T61</f>
        <v>6.3829355443850862E-4</v>
      </c>
      <c r="U34" s="154">
        <f>U32/'Revenue and Margins'!U61</f>
        <v>6.2544287963195065E-4</v>
      </c>
      <c r="V34" s="163">
        <f>V32/'Revenue and Margins'!V61</f>
        <v>5.1356001529061928E-4</v>
      </c>
      <c r="W34" s="9"/>
      <c r="X34" s="10"/>
      <c r="Y34" s="96"/>
    </row>
    <row r="35" spans="1:25" x14ac:dyDescent="0.45">
      <c r="A35" s="158" t="s">
        <v>39</v>
      </c>
      <c r="C35" s="9"/>
      <c r="P35" s="10"/>
      <c r="Q35" s="96"/>
      <c r="R35" s="9"/>
      <c r="V35" s="10"/>
      <c r="W35" s="9"/>
      <c r="X35" s="10"/>
      <c r="Y35" s="96"/>
    </row>
    <row r="36" spans="1:25" x14ac:dyDescent="0.45">
      <c r="A36" s="96" t="s">
        <v>73</v>
      </c>
      <c r="C36" s="86">
        <f>SUM(C37:C40)</f>
        <v>0</v>
      </c>
      <c r="D36" s="2">
        <f t="shared" ref="D36:V36" si="10">SUM(D37:D40)</f>
        <v>0</v>
      </c>
      <c r="E36" s="2">
        <f t="shared" si="10"/>
        <v>0</v>
      </c>
      <c r="F36" s="2">
        <f t="shared" si="10"/>
        <v>0</v>
      </c>
      <c r="G36" s="2">
        <f t="shared" si="10"/>
        <v>0</v>
      </c>
      <c r="H36" s="2">
        <f t="shared" si="10"/>
        <v>0</v>
      </c>
      <c r="I36" s="2">
        <f t="shared" si="10"/>
        <v>0</v>
      </c>
      <c r="J36" s="2">
        <f t="shared" si="10"/>
        <v>0</v>
      </c>
      <c r="K36" s="2">
        <f t="shared" si="10"/>
        <v>0</v>
      </c>
      <c r="L36" s="2">
        <f t="shared" si="10"/>
        <v>0</v>
      </c>
      <c r="M36" s="2">
        <f t="shared" si="10"/>
        <v>0</v>
      </c>
      <c r="N36" s="2">
        <f t="shared" si="10"/>
        <v>0</v>
      </c>
      <c r="O36" s="2">
        <f t="shared" si="10"/>
        <v>0</v>
      </c>
      <c r="P36" s="87">
        <f t="shared" si="10"/>
        <v>0</v>
      </c>
      <c r="Q36" s="109">
        <f t="shared" si="10"/>
        <v>0</v>
      </c>
      <c r="R36" s="86">
        <f>SUM(R37:R40)</f>
        <v>48000</v>
      </c>
      <c r="S36" s="2">
        <f t="shared" si="10"/>
        <v>3000</v>
      </c>
      <c r="T36" s="2">
        <f t="shared" si="10"/>
        <v>2000</v>
      </c>
      <c r="U36" s="2">
        <f t="shared" si="10"/>
        <v>2000</v>
      </c>
      <c r="V36" s="87">
        <f t="shared" si="10"/>
        <v>0</v>
      </c>
      <c r="W36" s="9"/>
      <c r="X36" s="10"/>
      <c r="Y36" s="96"/>
    </row>
    <row r="37" spans="1:25" x14ac:dyDescent="0.45">
      <c r="A37" s="157" t="s">
        <v>121</v>
      </c>
      <c r="C37" s="86">
        <v>0</v>
      </c>
      <c r="D37" s="2">
        <v>0</v>
      </c>
      <c r="E37" s="2">
        <v>0</v>
      </c>
      <c r="F37" s="2">
        <v>0</v>
      </c>
      <c r="G37" s="2">
        <v>0</v>
      </c>
      <c r="H37" s="2">
        <v>0</v>
      </c>
      <c r="I37" s="2">
        <v>0</v>
      </c>
      <c r="J37" s="2">
        <v>0</v>
      </c>
      <c r="K37" s="2">
        <v>0</v>
      </c>
      <c r="L37" s="2">
        <v>0</v>
      </c>
      <c r="M37" s="2">
        <v>0</v>
      </c>
      <c r="N37" s="2">
        <v>0</v>
      </c>
      <c r="O37" s="2">
        <v>0</v>
      </c>
      <c r="P37" s="87">
        <v>0</v>
      </c>
      <c r="Q37" s="109">
        <v>0</v>
      </c>
      <c r="R37" s="86">
        <v>10000</v>
      </c>
      <c r="S37" s="2">
        <v>0</v>
      </c>
      <c r="T37" s="2">
        <v>0</v>
      </c>
      <c r="U37" s="2">
        <v>0</v>
      </c>
      <c r="V37" s="87">
        <v>0</v>
      </c>
      <c r="W37" s="9"/>
      <c r="X37" s="10"/>
      <c r="Y37" s="96" t="s">
        <v>130</v>
      </c>
    </row>
    <row r="38" spans="1:25" x14ac:dyDescent="0.45">
      <c r="A38" s="157" t="s">
        <v>122</v>
      </c>
      <c r="C38" s="86">
        <v>0</v>
      </c>
      <c r="D38" s="2">
        <v>0</v>
      </c>
      <c r="E38" s="2">
        <v>0</v>
      </c>
      <c r="F38" s="2">
        <v>0</v>
      </c>
      <c r="G38" s="2">
        <v>0</v>
      </c>
      <c r="H38" s="2">
        <v>0</v>
      </c>
      <c r="I38" s="2">
        <v>0</v>
      </c>
      <c r="J38" s="2">
        <v>0</v>
      </c>
      <c r="K38" s="2">
        <v>0</v>
      </c>
      <c r="L38" s="2">
        <v>0</v>
      </c>
      <c r="M38" s="2">
        <v>0</v>
      </c>
      <c r="N38" s="2">
        <v>0</v>
      </c>
      <c r="O38" s="2">
        <v>0</v>
      </c>
      <c r="P38" s="87">
        <v>0</v>
      </c>
      <c r="Q38" s="109">
        <v>0</v>
      </c>
      <c r="R38" s="86">
        <v>30000</v>
      </c>
      <c r="S38" s="2">
        <v>0</v>
      </c>
      <c r="T38" s="2">
        <v>0</v>
      </c>
      <c r="U38" s="2">
        <v>0</v>
      </c>
      <c r="V38" s="87">
        <v>0</v>
      </c>
      <c r="W38" s="9"/>
      <c r="X38" s="10"/>
      <c r="Y38" s="96" t="s">
        <v>128</v>
      </c>
    </row>
    <row r="39" spans="1:25" x14ac:dyDescent="0.45">
      <c r="A39" s="157" t="s">
        <v>123</v>
      </c>
      <c r="C39" s="86">
        <v>0</v>
      </c>
      <c r="D39" s="2">
        <v>0</v>
      </c>
      <c r="E39" s="2">
        <v>0</v>
      </c>
      <c r="F39" s="2">
        <v>0</v>
      </c>
      <c r="G39" s="2">
        <v>0</v>
      </c>
      <c r="H39" s="2">
        <v>0</v>
      </c>
      <c r="I39" s="2">
        <v>0</v>
      </c>
      <c r="J39" s="2">
        <v>0</v>
      </c>
      <c r="K39" s="2">
        <v>0</v>
      </c>
      <c r="L39" s="2">
        <v>0</v>
      </c>
      <c r="M39" s="2">
        <v>0</v>
      </c>
      <c r="N39" s="2">
        <v>0</v>
      </c>
      <c r="O39" s="2">
        <v>0</v>
      </c>
      <c r="P39" s="87">
        <v>0</v>
      </c>
      <c r="Q39" s="109">
        <v>0</v>
      </c>
      <c r="R39" s="86">
        <v>3000</v>
      </c>
      <c r="S39" s="2">
        <v>1000</v>
      </c>
      <c r="T39" s="2">
        <f>1000/2</f>
        <v>500</v>
      </c>
      <c r="U39" s="172">
        <v>500</v>
      </c>
      <c r="V39" s="87">
        <v>0</v>
      </c>
      <c r="W39" s="9"/>
      <c r="X39" s="10"/>
      <c r="Y39" s="96" t="s">
        <v>129</v>
      </c>
    </row>
    <row r="40" spans="1:25" x14ac:dyDescent="0.45">
      <c r="A40" s="157" t="s">
        <v>124</v>
      </c>
      <c r="C40" s="86">
        <v>0</v>
      </c>
      <c r="D40" s="2">
        <v>0</v>
      </c>
      <c r="E40" s="2">
        <v>0</v>
      </c>
      <c r="F40" s="2">
        <v>0</v>
      </c>
      <c r="G40" s="2">
        <v>0</v>
      </c>
      <c r="H40" s="2">
        <v>0</v>
      </c>
      <c r="I40" s="2">
        <v>0</v>
      </c>
      <c r="J40" s="2">
        <v>0</v>
      </c>
      <c r="K40" s="2">
        <v>0</v>
      </c>
      <c r="L40" s="2">
        <v>0</v>
      </c>
      <c r="M40" s="2">
        <v>0</v>
      </c>
      <c r="N40" s="2">
        <v>0</v>
      </c>
      <c r="O40" s="2">
        <v>0</v>
      </c>
      <c r="P40" s="87">
        <v>0</v>
      </c>
      <c r="Q40" s="109">
        <v>0</v>
      </c>
      <c r="R40" s="86">
        <v>5000</v>
      </c>
      <c r="S40" s="2">
        <v>2000</v>
      </c>
      <c r="T40" s="2">
        <v>1500</v>
      </c>
      <c r="U40" s="2">
        <v>1500</v>
      </c>
      <c r="V40" s="87">
        <v>0</v>
      </c>
      <c r="W40" s="9"/>
      <c r="X40" s="10"/>
      <c r="Y40" s="96" t="s">
        <v>131</v>
      </c>
    </row>
    <row r="41" spans="1:25" x14ac:dyDescent="0.45">
      <c r="A41" s="159" t="s">
        <v>74</v>
      </c>
      <c r="B41" s="3"/>
      <c r="C41" s="62">
        <f>SUM(C42:C45)</f>
        <v>0</v>
      </c>
      <c r="D41" s="63">
        <f t="shared" ref="D41:V41" si="11">SUM(D42:D45)</f>
        <v>0</v>
      </c>
      <c r="E41" s="63">
        <f t="shared" si="11"/>
        <v>0</v>
      </c>
      <c r="F41" s="63">
        <f t="shared" si="11"/>
        <v>0</v>
      </c>
      <c r="G41" s="63">
        <f t="shared" si="11"/>
        <v>0</v>
      </c>
      <c r="H41" s="63">
        <f t="shared" si="11"/>
        <v>0</v>
      </c>
      <c r="I41" s="63">
        <f t="shared" si="11"/>
        <v>0</v>
      </c>
      <c r="J41" s="63">
        <f t="shared" si="11"/>
        <v>0</v>
      </c>
      <c r="K41" s="63">
        <f t="shared" si="11"/>
        <v>0</v>
      </c>
      <c r="L41" s="63">
        <f t="shared" si="11"/>
        <v>0</v>
      </c>
      <c r="M41" s="63">
        <f t="shared" si="11"/>
        <v>0</v>
      </c>
      <c r="N41" s="63">
        <f t="shared" si="11"/>
        <v>0</v>
      </c>
      <c r="O41" s="63">
        <f t="shared" si="11"/>
        <v>0</v>
      </c>
      <c r="P41" s="64">
        <f t="shared" si="11"/>
        <v>0</v>
      </c>
      <c r="Q41" s="102">
        <f t="shared" si="11"/>
        <v>0</v>
      </c>
      <c r="R41" s="62">
        <f>SUM(R42:R45)</f>
        <v>5400000</v>
      </c>
      <c r="S41" s="63">
        <f>SUM(S42:S45)</f>
        <v>0</v>
      </c>
      <c r="T41" s="63">
        <f t="shared" si="11"/>
        <v>0</v>
      </c>
      <c r="U41" s="63">
        <f t="shared" si="11"/>
        <v>0</v>
      </c>
      <c r="V41" s="64">
        <f t="shared" si="11"/>
        <v>0</v>
      </c>
      <c r="W41" s="9"/>
      <c r="X41" s="10"/>
      <c r="Y41" s="96"/>
    </row>
    <row r="42" spans="1:25" x14ac:dyDescent="0.45">
      <c r="A42" s="157" t="s">
        <v>125</v>
      </c>
      <c r="C42" s="86">
        <v>0</v>
      </c>
      <c r="D42" s="2">
        <v>0</v>
      </c>
      <c r="E42" s="2">
        <v>0</v>
      </c>
      <c r="F42" s="2">
        <v>0</v>
      </c>
      <c r="G42" s="2">
        <v>0</v>
      </c>
      <c r="H42" s="2">
        <v>0</v>
      </c>
      <c r="I42" s="2">
        <v>0</v>
      </c>
      <c r="J42" s="2">
        <v>0</v>
      </c>
      <c r="K42" s="2">
        <v>0</v>
      </c>
      <c r="L42" s="2">
        <v>0</v>
      </c>
      <c r="M42" s="2">
        <v>0</v>
      </c>
      <c r="N42" s="2">
        <v>0</v>
      </c>
      <c r="O42" s="2">
        <v>0</v>
      </c>
      <c r="P42" s="87">
        <v>0</v>
      </c>
      <c r="Q42" s="109">
        <v>0</v>
      </c>
      <c r="R42" s="86">
        <v>5000000</v>
      </c>
      <c r="S42" s="2">
        <v>0</v>
      </c>
      <c r="T42" s="2">
        <v>0</v>
      </c>
      <c r="U42" s="2">
        <v>0</v>
      </c>
      <c r="V42" s="87">
        <v>0</v>
      </c>
      <c r="W42" s="9"/>
      <c r="X42" s="10"/>
      <c r="Y42" s="96" t="s">
        <v>116</v>
      </c>
    </row>
    <row r="43" spans="1:25" x14ac:dyDescent="0.45">
      <c r="A43" s="157" t="s">
        <v>126</v>
      </c>
      <c r="C43" s="86">
        <v>0</v>
      </c>
      <c r="D43" s="2">
        <v>0</v>
      </c>
      <c r="E43" s="2">
        <v>0</v>
      </c>
      <c r="F43" s="2">
        <v>0</v>
      </c>
      <c r="G43" s="2">
        <v>0</v>
      </c>
      <c r="H43" s="2">
        <v>0</v>
      </c>
      <c r="I43" s="2">
        <v>0</v>
      </c>
      <c r="J43" s="2">
        <v>0</v>
      </c>
      <c r="K43" s="2">
        <v>0</v>
      </c>
      <c r="L43" s="2">
        <v>0</v>
      </c>
      <c r="M43" s="2">
        <v>0</v>
      </c>
      <c r="N43" s="2">
        <v>0</v>
      </c>
      <c r="O43" s="2">
        <v>0</v>
      </c>
      <c r="P43" s="87">
        <v>0</v>
      </c>
      <c r="Q43" s="109">
        <v>0</v>
      </c>
      <c r="R43" s="86">
        <v>250000</v>
      </c>
      <c r="S43" s="2">
        <v>0</v>
      </c>
      <c r="T43" s="2">
        <v>0</v>
      </c>
      <c r="U43" s="2">
        <v>0</v>
      </c>
      <c r="V43" s="87">
        <v>0</v>
      </c>
      <c r="W43" s="9"/>
      <c r="X43" s="10"/>
      <c r="Y43" s="96" t="s">
        <v>132</v>
      </c>
    </row>
    <row r="44" spans="1:25" hidden="1" x14ac:dyDescent="0.45">
      <c r="A44" s="157" t="s">
        <v>133</v>
      </c>
      <c r="C44" s="86">
        <v>0</v>
      </c>
      <c r="D44" s="2">
        <v>0</v>
      </c>
      <c r="E44" s="2">
        <v>0</v>
      </c>
      <c r="F44" s="2">
        <v>0</v>
      </c>
      <c r="G44" s="2">
        <v>0</v>
      </c>
      <c r="H44" s="2">
        <v>0</v>
      </c>
      <c r="I44" s="2">
        <v>0</v>
      </c>
      <c r="J44" s="2">
        <v>0</v>
      </c>
      <c r="K44" s="2">
        <v>0</v>
      </c>
      <c r="L44" s="2">
        <v>0</v>
      </c>
      <c r="M44" s="2">
        <v>0</v>
      </c>
      <c r="N44" s="2">
        <v>0</v>
      </c>
      <c r="O44" s="2">
        <v>0</v>
      </c>
      <c r="P44" s="87">
        <v>0</v>
      </c>
      <c r="Q44" s="109">
        <v>0</v>
      </c>
      <c r="R44" s="86"/>
      <c r="S44" s="2"/>
      <c r="T44" s="2"/>
      <c r="U44" s="2"/>
      <c r="V44" s="87"/>
      <c r="W44" s="9"/>
      <c r="X44" s="10"/>
      <c r="Y44" s="96"/>
    </row>
    <row r="45" spans="1:25" x14ac:dyDescent="0.45">
      <c r="A45" s="157" t="s">
        <v>127</v>
      </c>
      <c r="C45" s="86">
        <v>0</v>
      </c>
      <c r="D45" s="2">
        <v>0</v>
      </c>
      <c r="E45" s="2">
        <v>0</v>
      </c>
      <c r="F45" s="2">
        <v>0</v>
      </c>
      <c r="G45" s="2">
        <v>0</v>
      </c>
      <c r="H45" s="2">
        <v>0</v>
      </c>
      <c r="I45" s="2">
        <v>0</v>
      </c>
      <c r="J45" s="2">
        <v>0</v>
      </c>
      <c r="K45" s="2">
        <v>0</v>
      </c>
      <c r="L45" s="2">
        <v>0</v>
      </c>
      <c r="M45" s="2">
        <v>0</v>
      </c>
      <c r="N45" s="2">
        <v>0</v>
      </c>
      <c r="O45" s="2">
        <v>0</v>
      </c>
      <c r="P45" s="87">
        <v>0</v>
      </c>
      <c r="Q45" s="109">
        <v>0</v>
      </c>
      <c r="R45" s="86">
        <v>150000</v>
      </c>
      <c r="S45" s="2">
        <v>0</v>
      </c>
      <c r="T45" s="2">
        <v>0</v>
      </c>
      <c r="U45" s="2">
        <v>0</v>
      </c>
      <c r="V45" s="87">
        <v>0</v>
      </c>
      <c r="W45" s="9"/>
      <c r="X45" s="10"/>
      <c r="Y45" s="96" t="s">
        <v>115</v>
      </c>
    </row>
    <row r="46" spans="1:25" x14ac:dyDescent="0.45">
      <c r="A46" s="96" t="s">
        <v>120</v>
      </c>
      <c r="C46" s="86">
        <f>C41+C36</f>
        <v>0</v>
      </c>
      <c r="D46" s="2">
        <f t="shared" ref="D46:V46" si="12">D41+D36</f>
        <v>0</v>
      </c>
      <c r="E46" s="2">
        <f t="shared" si="12"/>
        <v>0</v>
      </c>
      <c r="F46" s="2">
        <f t="shared" si="12"/>
        <v>0</v>
      </c>
      <c r="G46" s="2">
        <f t="shared" si="12"/>
        <v>0</v>
      </c>
      <c r="H46" s="2">
        <f t="shared" si="12"/>
        <v>0</v>
      </c>
      <c r="I46" s="2">
        <f t="shared" si="12"/>
        <v>0</v>
      </c>
      <c r="J46" s="2">
        <f t="shared" si="12"/>
        <v>0</v>
      </c>
      <c r="K46" s="2">
        <f t="shared" si="12"/>
        <v>0</v>
      </c>
      <c r="L46" s="2">
        <f t="shared" si="12"/>
        <v>0</v>
      </c>
      <c r="M46" s="2">
        <f t="shared" si="12"/>
        <v>0</v>
      </c>
      <c r="N46" s="2">
        <f t="shared" si="12"/>
        <v>0</v>
      </c>
      <c r="O46" s="2">
        <f t="shared" si="12"/>
        <v>0</v>
      </c>
      <c r="P46" s="87">
        <f t="shared" si="12"/>
        <v>0</v>
      </c>
      <c r="Q46" s="109">
        <f t="shared" si="12"/>
        <v>0</v>
      </c>
      <c r="R46" s="86">
        <f>R41+R36</f>
        <v>5448000</v>
      </c>
      <c r="S46" s="2">
        <f t="shared" si="12"/>
        <v>3000</v>
      </c>
      <c r="T46" s="2">
        <f t="shared" si="12"/>
        <v>2000</v>
      </c>
      <c r="U46" s="2">
        <f t="shared" si="12"/>
        <v>2000</v>
      </c>
      <c r="V46" s="87">
        <f t="shared" si="12"/>
        <v>0</v>
      </c>
      <c r="W46" s="173">
        <f>IF(C310&lt;&gt;0,((H46/C46)^(1/5))-1,0)</f>
        <v>0</v>
      </c>
      <c r="X46" s="174">
        <f>((V46/R46)^(1/4))-1</f>
        <v>-1</v>
      </c>
      <c r="Y46" s="96"/>
    </row>
    <row r="47" spans="1:25" x14ac:dyDescent="0.45">
      <c r="A47" s="96" t="s">
        <v>95</v>
      </c>
      <c r="C47" s="9"/>
      <c r="D47" s="153">
        <f>IF(C46&lt;&gt;0, (D46/C46)-1,0)</f>
        <v>0</v>
      </c>
      <c r="E47" s="153">
        <f t="shared" ref="E47:V47" si="13">IF(D46&lt;&gt;0, (E46/D46)-1,0)</f>
        <v>0</v>
      </c>
      <c r="F47" s="153">
        <f t="shared" si="13"/>
        <v>0</v>
      </c>
      <c r="G47" s="153">
        <f t="shared" si="13"/>
        <v>0</v>
      </c>
      <c r="H47" s="153">
        <f t="shared" si="13"/>
        <v>0</v>
      </c>
      <c r="I47" s="153">
        <f t="shared" si="13"/>
        <v>0</v>
      </c>
      <c r="J47" s="153">
        <f t="shared" si="13"/>
        <v>0</v>
      </c>
      <c r="K47" s="153">
        <f t="shared" si="13"/>
        <v>0</v>
      </c>
      <c r="L47" s="153">
        <f t="shared" si="13"/>
        <v>0</v>
      </c>
      <c r="M47" s="153">
        <f t="shared" si="13"/>
        <v>0</v>
      </c>
      <c r="N47" s="153">
        <f t="shared" si="13"/>
        <v>0</v>
      </c>
      <c r="O47" s="153">
        <f t="shared" si="13"/>
        <v>0</v>
      </c>
      <c r="P47" s="161">
        <f t="shared" si="13"/>
        <v>0</v>
      </c>
      <c r="Q47" s="167">
        <f t="shared" si="13"/>
        <v>0</v>
      </c>
      <c r="R47" s="171">
        <f>IF(Q46&lt;&gt;0, (R46/Q46)-1,0)</f>
        <v>0</v>
      </c>
      <c r="S47" s="153">
        <f>IF(R46&lt;&gt;0, (S46/R46)-1,0)</f>
        <v>-0.99944933920704848</v>
      </c>
      <c r="T47" s="153">
        <f t="shared" si="13"/>
        <v>-0.33333333333333337</v>
      </c>
      <c r="U47" s="153">
        <f t="shared" si="13"/>
        <v>0</v>
      </c>
      <c r="V47" s="161">
        <f t="shared" si="13"/>
        <v>-1</v>
      </c>
      <c r="W47" s="9"/>
      <c r="X47" s="10"/>
      <c r="Y47" s="96"/>
    </row>
    <row r="48" spans="1:25" ht="14.65" thickBot="1" x14ac:dyDescent="0.5">
      <c r="A48" s="16" t="s">
        <v>96</v>
      </c>
      <c r="C48" s="176">
        <f>C46/'Revenue and Margins'!C61</f>
        <v>0</v>
      </c>
      <c r="D48" s="177">
        <f>D46/'Revenue and Margins'!D61</f>
        <v>0</v>
      </c>
      <c r="E48" s="177">
        <f>E46/'Revenue and Margins'!E61</f>
        <v>0</v>
      </c>
      <c r="F48" s="177">
        <f>F46/'Revenue and Margins'!F61</f>
        <v>0</v>
      </c>
      <c r="G48" s="177">
        <f>G46/'Revenue and Margins'!G61</f>
        <v>0</v>
      </c>
      <c r="H48" s="177">
        <f>H46/'Revenue and Margins'!H61</f>
        <v>0</v>
      </c>
      <c r="I48" s="177">
        <f>I46/'Revenue and Margins'!I61</f>
        <v>0</v>
      </c>
      <c r="J48" s="177">
        <f>J46/'Revenue and Margins'!J61</f>
        <v>0</v>
      </c>
      <c r="K48" s="177">
        <f>K46/'Revenue and Margins'!K61</f>
        <v>0</v>
      </c>
      <c r="L48" s="177">
        <f>L46/'Revenue and Margins'!L61</f>
        <v>0</v>
      </c>
      <c r="M48" s="177">
        <f>M46/'Revenue and Margins'!M61</f>
        <v>0</v>
      </c>
      <c r="N48" s="177">
        <f>N46/'Revenue and Margins'!N61</f>
        <v>0</v>
      </c>
      <c r="O48" s="177">
        <f>O46/'Revenue and Margins'!O61</f>
        <v>0</v>
      </c>
      <c r="P48" s="178">
        <f>P46/'Revenue and Margins'!P61</f>
        <v>0</v>
      </c>
      <c r="Q48" s="179">
        <f>Q46/'Revenue and Margins'!Q61</f>
        <v>0</v>
      </c>
      <c r="R48" s="176">
        <f>R46/'Revenue and Margins'!R61</f>
        <v>6.3274870214019174E-2</v>
      </c>
      <c r="S48" s="177">
        <f>S46/'Revenue and Margins'!S61</f>
        <v>3.254626177346217E-5</v>
      </c>
      <c r="T48" s="177">
        <f>T46/'Revenue and Margins'!T61</f>
        <v>2.1276451814616957E-5</v>
      </c>
      <c r="U48" s="177">
        <f>U46/'Revenue and Margins'!U61</f>
        <v>2.0848095987731687E-5</v>
      </c>
      <c r="V48" s="178">
        <f>V46/'Revenue and Margins'!V61</f>
        <v>0</v>
      </c>
      <c r="W48" s="9"/>
      <c r="X48" s="10"/>
      <c r="Y48" s="96"/>
    </row>
    <row r="49" spans="1:25" x14ac:dyDescent="0.45">
      <c r="A49" s="158" t="s">
        <v>40</v>
      </c>
      <c r="C49" s="9"/>
      <c r="P49" s="10"/>
      <c r="Q49" s="96"/>
      <c r="R49" s="9"/>
      <c r="V49" s="10"/>
      <c r="W49" s="9"/>
      <c r="X49" s="10"/>
      <c r="Y49" s="96"/>
    </row>
    <row r="50" spans="1:25" x14ac:dyDescent="0.45">
      <c r="A50" s="160" t="s">
        <v>86</v>
      </c>
      <c r="C50" s="86">
        <v>0</v>
      </c>
      <c r="D50" s="2">
        <v>0</v>
      </c>
      <c r="E50" s="2">
        <v>0</v>
      </c>
      <c r="F50" s="2">
        <v>0</v>
      </c>
      <c r="G50" s="2">
        <v>0</v>
      </c>
      <c r="H50" s="2">
        <v>0</v>
      </c>
      <c r="I50" s="2">
        <v>0</v>
      </c>
      <c r="J50" s="2">
        <v>0</v>
      </c>
      <c r="K50" s="2">
        <v>0</v>
      </c>
      <c r="L50" s="2">
        <v>0</v>
      </c>
      <c r="M50" s="2">
        <v>0</v>
      </c>
      <c r="N50" s="2">
        <v>0</v>
      </c>
      <c r="O50" s="2">
        <v>0</v>
      </c>
      <c r="P50" s="87">
        <v>0</v>
      </c>
      <c r="Q50" s="109">
        <v>0</v>
      </c>
      <c r="R50" s="86">
        <v>200000</v>
      </c>
      <c r="S50" s="2">
        <v>0</v>
      </c>
      <c r="T50" s="2">
        <v>0</v>
      </c>
      <c r="U50" s="2">
        <v>0</v>
      </c>
      <c r="V50" s="2">
        <v>0</v>
      </c>
      <c r="W50" s="9"/>
      <c r="X50" s="10"/>
      <c r="Y50" s="96" t="s">
        <v>134</v>
      </c>
    </row>
    <row r="51" spans="1:25" x14ac:dyDescent="0.45">
      <c r="A51" s="96" t="s">
        <v>138</v>
      </c>
      <c r="C51" s="86">
        <f t="shared" ref="C51:V51" si="14">SUM(C50:C50)</f>
        <v>0</v>
      </c>
      <c r="D51" s="2">
        <f t="shared" si="14"/>
        <v>0</v>
      </c>
      <c r="E51" s="2">
        <f t="shared" si="14"/>
        <v>0</v>
      </c>
      <c r="F51" s="2">
        <f t="shared" si="14"/>
        <v>0</v>
      </c>
      <c r="G51" s="2">
        <f t="shared" si="14"/>
        <v>0</v>
      </c>
      <c r="H51" s="2">
        <f t="shared" si="14"/>
        <v>0</v>
      </c>
      <c r="I51" s="2">
        <f t="shared" si="14"/>
        <v>0</v>
      </c>
      <c r="J51" s="2">
        <f t="shared" si="14"/>
        <v>0</v>
      </c>
      <c r="K51" s="2">
        <f t="shared" si="14"/>
        <v>0</v>
      </c>
      <c r="L51" s="2">
        <f t="shared" si="14"/>
        <v>0</v>
      </c>
      <c r="M51" s="2">
        <f t="shared" si="14"/>
        <v>0</v>
      </c>
      <c r="N51" s="2">
        <f t="shared" si="14"/>
        <v>0</v>
      </c>
      <c r="O51" s="2">
        <f t="shared" si="14"/>
        <v>0</v>
      </c>
      <c r="P51" s="87">
        <f t="shared" si="14"/>
        <v>0</v>
      </c>
      <c r="Q51" s="109">
        <f t="shared" si="14"/>
        <v>0</v>
      </c>
      <c r="R51" s="86">
        <f t="shared" si="14"/>
        <v>200000</v>
      </c>
      <c r="S51" s="2">
        <f t="shared" si="14"/>
        <v>0</v>
      </c>
      <c r="T51" s="2">
        <f t="shared" si="14"/>
        <v>0</v>
      </c>
      <c r="U51" s="2">
        <f t="shared" si="14"/>
        <v>0</v>
      </c>
      <c r="V51" s="87">
        <f t="shared" si="14"/>
        <v>0</v>
      </c>
      <c r="W51" s="173">
        <f>IF(C319&lt;&gt;0,((H51/C51)^(1/5))-1,0)</f>
        <v>0</v>
      </c>
      <c r="X51" s="174">
        <f>((V51/R51)^(1/4))-1</f>
        <v>-1</v>
      </c>
      <c r="Y51" s="96"/>
    </row>
    <row r="52" spans="1:25" x14ac:dyDescent="0.45">
      <c r="A52" s="96" t="s">
        <v>95</v>
      </c>
      <c r="C52" s="9"/>
      <c r="D52" s="153">
        <f>IF(C51&lt;&gt;0, (D51/C51)-1,0)</f>
        <v>0</v>
      </c>
      <c r="E52" s="153">
        <f t="shared" ref="E52:V52" si="15">IF(D51&lt;&gt;0, (E51/D51)-1,0)</f>
        <v>0</v>
      </c>
      <c r="F52" s="153">
        <f t="shared" si="15"/>
        <v>0</v>
      </c>
      <c r="G52" s="153">
        <f t="shared" si="15"/>
        <v>0</v>
      </c>
      <c r="H52" s="153">
        <f t="shared" si="15"/>
        <v>0</v>
      </c>
      <c r="I52" s="153">
        <f t="shared" si="15"/>
        <v>0</v>
      </c>
      <c r="J52" s="153">
        <f t="shared" si="15"/>
        <v>0</v>
      </c>
      <c r="K52" s="153">
        <f t="shared" si="15"/>
        <v>0</v>
      </c>
      <c r="L52" s="153">
        <f t="shared" si="15"/>
        <v>0</v>
      </c>
      <c r="M52" s="153">
        <f t="shared" si="15"/>
        <v>0</v>
      </c>
      <c r="N52" s="153">
        <f t="shared" si="15"/>
        <v>0</v>
      </c>
      <c r="O52" s="153">
        <f t="shared" si="15"/>
        <v>0</v>
      </c>
      <c r="P52" s="161">
        <f t="shared" si="15"/>
        <v>0</v>
      </c>
      <c r="Q52" s="167">
        <f t="shared" si="15"/>
        <v>0</v>
      </c>
      <c r="R52" s="171">
        <f t="shared" si="15"/>
        <v>0</v>
      </c>
      <c r="S52" s="153">
        <f t="shared" si="15"/>
        <v>-1</v>
      </c>
      <c r="T52" s="153">
        <f t="shared" si="15"/>
        <v>0</v>
      </c>
      <c r="U52" s="153">
        <f t="shared" si="15"/>
        <v>0</v>
      </c>
      <c r="V52" s="161">
        <f t="shared" si="15"/>
        <v>0</v>
      </c>
      <c r="W52" s="9"/>
      <c r="X52" s="10"/>
      <c r="Y52" s="96"/>
    </row>
    <row r="53" spans="1:25" ht="14.65" thickBot="1" x14ac:dyDescent="0.5">
      <c r="A53" s="16" t="s">
        <v>96</v>
      </c>
      <c r="C53" s="118">
        <f>C51/'Revenue and Margins'!C61</f>
        <v>0</v>
      </c>
      <c r="D53" s="27">
        <f>D51/'Revenue and Margins'!D61</f>
        <v>0</v>
      </c>
      <c r="E53" s="27">
        <f>E51/'Revenue and Margins'!E61</f>
        <v>0</v>
      </c>
      <c r="F53" s="27">
        <f>F51/'Revenue and Margins'!F61</f>
        <v>0</v>
      </c>
      <c r="G53" s="27">
        <f>G51/'Revenue and Margins'!G61</f>
        <v>0</v>
      </c>
      <c r="H53" s="27">
        <f>H51/'Revenue and Margins'!H61</f>
        <v>0</v>
      </c>
      <c r="I53" s="27">
        <f>I51/'Revenue and Margins'!I61</f>
        <v>0</v>
      </c>
      <c r="J53" s="27">
        <f>J51/'Revenue and Margins'!J61</f>
        <v>0</v>
      </c>
      <c r="K53" s="27">
        <f>K51/'Revenue and Margins'!K61</f>
        <v>0</v>
      </c>
      <c r="L53" s="27">
        <f>L51/'Revenue and Margins'!L61</f>
        <v>0</v>
      </c>
      <c r="M53" s="27">
        <f>M51/'Revenue and Margins'!M61</f>
        <v>0</v>
      </c>
      <c r="N53" s="27">
        <f>N51/'Revenue and Margins'!N61</f>
        <v>0</v>
      </c>
      <c r="O53" s="27">
        <f>O51/'Revenue and Margins'!O61</f>
        <v>0</v>
      </c>
      <c r="P53" s="119">
        <f>P51/'Revenue and Margins'!P61</f>
        <v>0</v>
      </c>
      <c r="Q53" s="183">
        <f>Q51/'Revenue and Margins'!Q61</f>
        <v>0</v>
      </c>
      <c r="R53" s="118">
        <f>R51/'Revenue and Margins'!R61</f>
        <v>2.3228660137305131E-3</v>
      </c>
      <c r="S53" s="27">
        <f>S51/'Revenue and Margins'!S61</f>
        <v>0</v>
      </c>
      <c r="T53" s="27">
        <f>T51/'Revenue and Margins'!T61</f>
        <v>0</v>
      </c>
      <c r="U53" s="27">
        <f>U51/'Revenue and Margins'!U61</f>
        <v>0</v>
      </c>
      <c r="V53" s="119">
        <f>V51/'Revenue and Margins'!V61</f>
        <v>0</v>
      </c>
      <c r="W53" s="9"/>
      <c r="X53" s="10"/>
      <c r="Y53" s="96"/>
    </row>
    <row r="54" spans="1:25" x14ac:dyDescent="0.45">
      <c r="A54" s="158" t="s">
        <v>135</v>
      </c>
      <c r="C54" s="184">
        <f t="shared" ref="C54:V54" si="16">C5+C51+C46+C32+C13</f>
        <v>17322482.757378381</v>
      </c>
      <c r="D54" s="185">
        <f t="shared" si="16"/>
        <v>18000107.556152254</v>
      </c>
      <c r="E54" s="185">
        <f t="shared" si="16"/>
        <v>17666028.723365497</v>
      </c>
      <c r="F54" s="185">
        <f t="shared" si="16"/>
        <v>19064061.47783903</v>
      </c>
      <c r="G54" s="185">
        <f t="shared" si="16"/>
        <v>28551557.677472405</v>
      </c>
      <c r="H54" s="185">
        <f t="shared" si="16"/>
        <v>35853166.46366144</v>
      </c>
      <c r="I54" s="185">
        <f t="shared" si="16"/>
        <v>35801430.420000002</v>
      </c>
      <c r="J54" s="185">
        <f t="shared" si="16"/>
        <v>35593403.520000003</v>
      </c>
      <c r="K54" s="185">
        <f t="shared" si="16"/>
        <v>36608079.399999999</v>
      </c>
      <c r="L54" s="185">
        <f t="shared" si="16"/>
        <v>35736835.020000003</v>
      </c>
      <c r="M54" s="185">
        <f t="shared" si="16"/>
        <v>31142954.199999999</v>
      </c>
      <c r="N54" s="185">
        <f t="shared" si="16"/>
        <v>32410757.57</v>
      </c>
      <c r="O54" s="185">
        <f t="shared" si="16"/>
        <v>36409289.380000003</v>
      </c>
      <c r="P54" s="186">
        <f t="shared" si="16"/>
        <v>38202929.5</v>
      </c>
      <c r="Q54" s="187">
        <f t="shared" si="16"/>
        <v>39905609.252153851</v>
      </c>
      <c r="R54" s="184">
        <f t="shared" si="16"/>
        <v>92646332.480142295</v>
      </c>
      <c r="S54" s="185">
        <f t="shared" si="16"/>
        <v>108284478.56426042</v>
      </c>
      <c r="T54" s="185">
        <f t="shared" si="16"/>
        <v>46902844.648378544</v>
      </c>
      <c r="U54" s="185">
        <f t="shared" si="16"/>
        <v>48621710.732496664</v>
      </c>
      <c r="V54" s="186">
        <f t="shared" si="16"/>
        <v>50328576.816614777</v>
      </c>
      <c r="X54" s="10"/>
      <c r="Y54" s="96"/>
    </row>
    <row r="55" spans="1:25" x14ac:dyDescent="0.45">
      <c r="A55" s="96" t="s">
        <v>96</v>
      </c>
      <c r="C55" s="118">
        <f>C54/'Revenue and Margins'!C61</f>
        <v>0.36776132742411843</v>
      </c>
      <c r="D55" s="27">
        <f>D54/'Revenue and Margins'!D61</f>
        <v>0.49560590285362055</v>
      </c>
      <c r="E55" s="27">
        <f>E54/'Revenue and Margins'!E61</f>
        <v>0.46362871631832137</v>
      </c>
      <c r="F55" s="27">
        <f>F54/'Revenue and Margins'!F61</f>
        <v>0.48545653589499649</v>
      </c>
      <c r="G55" s="27">
        <f>G54/'Revenue and Margins'!G61</f>
        <v>0.64513699125869639</v>
      </c>
      <c r="H55" s="27">
        <f>H54/'Revenue and Margins'!H61</f>
        <v>0.82196082341531973</v>
      </c>
      <c r="I55" s="27">
        <f>I54/'Revenue and Margins'!I61</f>
        <v>0.81459289404201185</v>
      </c>
      <c r="J55" s="27">
        <f>J54/'Revenue and Margins'!J61</f>
        <v>0.7915463838400485</v>
      </c>
      <c r="K55" s="27">
        <f>K54/'Revenue and Margins'!K61</f>
        <v>0.80473803632840235</v>
      </c>
      <c r="L55" s="27">
        <f>L54/'Revenue and Margins'!L61</f>
        <v>0.7686453148835789</v>
      </c>
      <c r="M55" s="27">
        <f>M54/'Revenue and Margins'!M61</f>
        <v>0.69418491630127621</v>
      </c>
      <c r="N55" s="27">
        <f>N54/'Revenue and Margins'!N61</f>
        <v>0.69708013615866549</v>
      </c>
      <c r="O55" s="27">
        <f>O54/'Revenue and Margins'!O61</f>
        <v>0.77122055896541564</v>
      </c>
      <c r="P55" s="119">
        <f>P54/'Revenue and Margins'!P61</f>
        <v>0.78786372949902084</v>
      </c>
      <c r="Q55" s="183">
        <f>Q54/'Revenue and Margins'!Q61</f>
        <v>0.81431848340259894</v>
      </c>
      <c r="R55" s="118">
        <f>R54/'Revenue and Margins'!R61</f>
        <v>1.0760250850744995</v>
      </c>
      <c r="S55" s="27">
        <f>S54/'Revenue and Margins'!S61</f>
        <v>1.1747516617850908</v>
      </c>
      <c r="T55" s="27">
        <f>T54/'Revenue and Margins'!T61</f>
        <v>0.49896305706484539</v>
      </c>
      <c r="U55" s="27">
        <f>U54/'Revenue and Margins'!U61</f>
        <v>0.50683504621940723</v>
      </c>
      <c r="V55" s="119">
        <f>V54/'Revenue and Margins'!V61</f>
        <v>0.51693489358991584</v>
      </c>
      <c r="X55" s="10"/>
      <c r="Y55" s="96"/>
    </row>
    <row r="56" spans="1:25" x14ac:dyDescent="0.45">
      <c r="A56" s="96" t="s">
        <v>136</v>
      </c>
      <c r="C56" s="9"/>
      <c r="D56" s="2">
        <f>D54-C54</f>
        <v>677624.7987738736</v>
      </c>
      <c r="E56" s="2">
        <f t="shared" ref="E56:V56" si="17">E54-D54</f>
        <v>-334078.8327867575</v>
      </c>
      <c r="F56" s="2">
        <f t="shared" si="17"/>
        <v>1398032.7544735335</v>
      </c>
      <c r="G56" s="2">
        <f t="shared" si="17"/>
        <v>9487496.1996333748</v>
      </c>
      <c r="H56" s="2">
        <f t="shared" si="17"/>
        <v>7301608.7861890346</v>
      </c>
      <c r="I56" s="2">
        <f t="shared" si="17"/>
        <v>-51736.043661437929</v>
      </c>
      <c r="J56" s="2">
        <f t="shared" si="17"/>
        <v>-208026.89999999851</v>
      </c>
      <c r="K56" s="2">
        <f t="shared" si="17"/>
        <v>1014675.8799999952</v>
      </c>
      <c r="L56" s="2">
        <f t="shared" si="17"/>
        <v>-871244.37999999523</v>
      </c>
      <c r="M56" s="2">
        <f t="shared" si="17"/>
        <v>-4593880.820000004</v>
      </c>
      <c r="N56" s="2">
        <f t="shared" si="17"/>
        <v>1267803.370000001</v>
      </c>
      <c r="O56" s="2">
        <f t="shared" si="17"/>
        <v>3998531.8100000024</v>
      </c>
      <c r="P56" s="87">
        <f t="shared" si="17"/>
        <v>1793640.1199999973</v>
      </c>
      <c r="Q56" s="109">
        <f t="shared" si="17"/>
        <v>1702679.7521538511</v>
      </c>
      <c r="R56" s="86">
        <f t="shared" si="17"/>
        <v>52740723.227988444</v>
      </c>
      <c r="S56" s="2">
        <f t="shared" si="17"/>
        <v>15638146.084118128</v>
      </c>
      <c r="T56" s="2">
        <f t="shared" si="17"/>
        <v>-61381633.91588188</v>
      </c>
      <c r="U56" s="2">
        <f t="shared" si="17"/>
        <v>1718866.0841181204</v>
      </c>
      <c r="V56" s="87">
        <f t="shared" si="17"/>
        <v>1706866.0841181129</v>
      </c>
      <c r="X56" s="10"/>
      <c r="Y56" s="96"/>
    </row>
    <row r="57" spans="1:25" ht="14.65" thickBot="1" x14ac:dyDescent="0.5">
      <c r="A57" s="16" t="s">
        <v>137</v>
      </c>
      <c r="C57" s="11"/>
      <c r="D57" s="154">
        <f>IF(C54&lt;&gt;0, D56/C54, 0)</f>
        <v>3.9118226195678819E-2</v>
      </c>
      <c r="E57" s="154">
        <f t="shared" ref="E57:V57" si="18">IF(D54&lt;&gt;0, E56/D54, 0)</f>
        <v>-1.8559824253526348E-2</v>
      </c>
      <c r="F57" s="154">
        <f t="shared" si="18"/>
        <v>7.9136787127740998E-2</v>
      </c>
      <c r="G57" s="154">
        <f t="shared" si="18"/>
        <v>0.49766395322749513</v>
      </c>
      <c r="H57" s="154">
        <f t="shared" si="18"/>
        <v>0.255734165843782</v>
      </c>
      <c r="I57" s="154">
        <f t="shared" si="18"/>
        <v>-1.4429978929162196E-3</v>
      </c>
      <c r="J57" s="154">
        <f t="shared" si="18"/>
        <v>-5.8105750960103257E-3</v>
      </c>
      <c r="K57" s="154">
        <f t="shared" si="18"/>
        <v>2.8507413724283122E-2</v>
      </c>
      <c r="L57" s="154">
        <f t="shared" si="18"/>
        <v>-2.3799237607641206E-2</v>
      </c>
      <c r="M57" s="154">
        <f t="shared" si="18"/>
        <v>-0.12854750056710545</v>
      </c>
      <c r="N57" s="154">
        <f t="shared" si="18"/>
        <v>4.0709155652292009E-2</v>
      </c>
      <c r="O57" s="154">
        <f t="shared" si="18"/>
        <v>0.12337051367479043</v>
      </c>
      <c r="P57" s="163">
        <f t="shared" si="18"/>
        <v>4.9263255354422331E-2</v>
      </c>
      <c r="Q57" s="168">
        <f t="shared" si="18"/>
        <v>4.4569350425177498E-2</v>
      </c>
      <c r="R57" s="162">
        <f t="shared" si="18"/>
        <v>1.3216368379375598</v>
      </c>
      <c r="S57" s="154">
        <f t="shared" si="18"/>
        <v>0.16879401121971008</v>
      </c>
      <c r="T57" s="154">
        <f t="shared" si="18"/>
        <v>-0.56685533078921846</v>
      </c>
      <c r="U57" s="154">
        <f t="shared" si="18"/>
        <v>3.66473738854034E-2</v>
      </c>
      <c r="V57" s="163">
        <f t="shared" si="18"/>
        <v>3.5105019103684416E-2</v>
      </c>
      <c r="W57" s="12"/>
      <c r="X57" s="13"/>
      <c r="Y57" s="16"/>
    </row>
  </sheetData>
  <mergeCells count="3">
    <mergeCell ref="C3:P3"/>
    <mergeCell ref="R3:V3"/>
    <mergeCell ref="W3:X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9ACC1-2947-4AB8-A9A9-EE3181BB13BB}">
  <dimension ref="A1:AQ32"/>
  <sheetViews>
    <sheetView zoomScale="50" zoomScaleNormal="50" workbookViewId="0">
      <selection activeCell="X9" sqref="X9"/>
    </sheetView>
  </sheetViews>
  <sheetFormatPr defaultRowHeight="14.25" x14ac:dyDescent="0.45"/>
  <cols>
    <col min="1" max="1" width="35.9296875" bestFit="1" customWidth="1"/>
    <col min="2" max="2" width="4.86328125" bestFit="1" customWidth="1"/>
    <col min="3" max="3" width="14.265625" bestFit="1" customWidth="1"/>
    <col min="4" max="4" width="12.53125" bestFit="1" customWidth="1"/>
    <col min="5" max="5" width="13.6640625" bestFit="1" customWidth="1"/>
    <col min="6" max="6" width="25.06640625" bestFit="1" customWidth="1"/>
    <col min="7" max="9" width="13.59765625" bestFit="1" customWidth="1"/>
    <col min="10" max="12" width="13.6640625" bestFit="1" customWidth="1"/>
    <col min="13" max="22" width="14.59765625" bestFit="1" customWidth="1"/>
    <col min="24" max="24" width="12.53125" bestFit="1" customWidth="1"/>
    <col min="25" max="25" width="11" bestFit="1" customWidth="1"/>
    <col min="26" max="31" width="12.53125" bestFit="1" customWidth="1"/>
    <col min="32" max="43" width="13.59765625" bestFit="1" customWidth="1"/>
  </cols>
  <sheetData>
    <row r="1" spans="1:43" x14ac:dyDescent="0.45">
      <c r="F1" s="3" t="s">
        <v>139</v>
      </c>
    </row>
    <row r="2" spans="1:43" ht="14.65" thickBot="1" x14ac:dyDescent="0.5">
      <c r="F2" s="3" t="s">
        <v>140</v>
      </c>
    </row>
    <row r="3" spans="1:43" x14ac:dyDescent="0.45">
      <c r="C3" s="281" t="s">
        <v>2</v>
      </c>
      <c r="D3" s="282"/>
      <c r="E3" s="282"/>
      <c r="F3" s="282"/>
      <c r="G3" s="282"/>
      <c r="H3" s="282"/>
      <c r="I3" s="282"/>
      <c r="J3" s="282"/>
      <c r="K3" s="282"/>
      <c r="L3" s="282"/>
      <c r="M3" s="282"/>
      <c r="N3" s="282"/>
      <c r="O3" s="282"/>
      <c r="P3" s="283"/>
      <c r="Q3" s="19" t="s">
        <v>1</v>
      </c>
      <c r="R3" s="281" t="s">
        <v>3</v>
      </c>
      <c r="S3" s="282"/>
      <c r="T3" s="282"/>
      <c r="U3" s="282"/>
      <c r="V3" s="283"/>
      <c r="X3" s="281" t="s">
        <v>2</v>
      </c>
      <c r="Y3" s="282"/>
      <c r="Z3" s="282"/>
      <c r="AA3" s="282"/>
      <c r="AB3" s="282"/>
      <c r="AC3" s="282"/>
      <c r="AD3" s="282"/>
      <c r="AE3" s="282"/>
      <c r="AF3" s="282"/>
      <c r="AG3" s="282"/>
      <c r="AH3" s="282"/>
      <c r="AI3" s="282"/>
      <c r="AJ3" s="282"/>
      <c r="AK3" s="283"/>
      <c r="AL3" s="19" t="s">
        <v>1</v>
      </c>
      <c r="AM3" s="281" t="s">
        <v>3</v>
      </c>
      <c r="AN3" s="282"/>
      <c r="AO3" s="282"/>
      <c r="AP3" s="282"/>
      <c r="AQ3" s="283"/>
    </row>
    <row r="4" spans="1:43" ht="14.65" thickBot="1" x14ac:dyDescent="0.5">
      <c r="C4" s="11">
        <v>2010</v>
      </c>
      <c r="D4" s="12">
        <v>2011</v>
      </c>
      <c r="E4" s="12">
        <v>2012</v>
      </c>
      <c r="F4" s="12">
        <v>2013</v>
      </c>
      <c r="G4" s="12">
        <v>2014</v>
      </c>
      <c r="H4" s="12">
        <v>2015</v>
      </c>
      <c r="I4" s="12">
        <v>2016</v>
      </c>
      <c r="J4" s="12">
        <v>2017</v>
      </c>
      <c r="K4" s="12">
        <v>2018</v>
      </c>
      <c r="L4" s="12">
        <v>2019</v>
      </c>
      <c r="M4" s="12">
        <v>2020</v>
      </c>
      <c r="N4" s="12">
        <v>2021</v>
      </c>
      <c r="O4" s="12">
        <v>2022</v>
      </c>
      <c r="P4" s="13">
        <v>2023</v>
      </c>
      <c r="Q4" s="17">
        <v>2024</v>
      </c>
      <c r="R4" s="11">
        <v>2025</v>
      </c>
      <c r="S4" s="12">
        <v>2026</v>
      </c>
      <c r="T4" s="12">
        <v>2027</v>
      </c>
      <c r="U4" s="12">
        <v>2028</v>
      </c>
      <c r="V4" s="13">
        <v>2029</v>
      </c>
      <c r="X4" s="11">
        <v>2010</v>
      </c>
      <c r="Y4" s="12">
        <v>2011</v>
      </c>
      <c r="Z4" s="12">
        <v>2012</v>
      </c>
      <c r="AA4" s="12">
        <v>2013</v>
      </c>
      <c r="AB4" s="12">
        <v>2014</v>
      </c>
      <c r="AC4" s="12">
        <v>2015</v>
      </c>
      <c r="AD4" s="12">
        <v>2016</v>
      </c>
      <c r="AE4" s="12">
        <v>2017</v>
      </c>
      <c r="AF4" s="12">
        <v>2018</v>
      </c>
      <c r="AG4" s="12">
        <v>2019</v>
      </c>
      <c r="AH4" s="12">
        <v>2020</v>
      </c>
      <c r="AI4" s="12">
        <v>2021</v>
      </c>
      <c r="AJ4" s="12">
        <v>2022</v>
      </c>
      <c r="AK4" s="13">
        <v>2023</v>
      </c>
      <c r="AL4" s="17">
        <v>2024</v>
      </c>
      <c r="AM4" s="11">
        <v>2025</v>
      </c>
      <c r="AN4" s="12">
        <v>2026</v>
      </c>
      <c r="AO4" s="12">
        <v>2027</v>
      </c>
      <c r="AP4" s="12">
        <v>2028</v>
      </c>
      <c r="AQ4" s="13">
        <v>2029</v>
      </c>
    </row>
    <row r="5" spans="1:43" ht="14.65" thickBot="1" x14ac:dyDescent="0.5">
      <c r="Q5" s="170"/>
      <c r="AL5" s="170"/>
    </row>
    <row r="6" spans="1:43" x14ac:dyDescent="0.45">
      <c r="A6" s="23" t="s">
        <v>141</v>
      </c>
      <c r="B6" s="7"/>
      <c r="C6" s="7"/>
      <c r="D6" s="7"/>
      <c r="E6" s="7"/>
      <c r="F6" s="7"/>
      <c r="G6" s="7"/>
      <c r="H6" s="7"/>
      <c r="I6" s="7"/>
      <c r="J6" s="7"/>
      <c r="K6" s="7"/>
      <c r="L6" s="7"/>
      <c r="M6" s="7"/>
      <c r="N6" s="7"/>
      <c r="O6" s="7"/>
      <c r="P6" s="7"/>
      <c r="Q6" s="7"/>
      <c r="R6" s="7"/>
      <c r="S6" s="7"/>
      <c r="T6" s="7"/>
      <c r="U6" s="7"/>
      <c r="V6" s="8"/>
      <c r="X6" s="23" t="s">
        <v>147</v>
      </c>
      <c r="Y6" s="7"/>
      <c r="Z6" s="7"/>
      <c r="AA6" s="7"/>
      <c r="AB6" s="7"/>
      <c r="AC6" s="7"/>
      <c r="AD6" s="7"/>
      <c r="AE6" s="7"/>
      <c r="AF6" s="7"/>
      <c r="AG6" s="7"/>
      <c r="AH6" s="7"/>
      <c r="AI6" s="7"/>
      <c r="AJ6" s="7"/>
      <c r="AK6" s="7"/>
      <c r="AL6" s="7"/>
      <c r="AM6" s="7"/>
      <c r="AN6" s="7"/>
      <c r="AO6" s="7"/>
      <c r="AP6" s="7"/>
      <c r="AQ6" s="8"/>
    </row>
    <row r="7" spans="1:43" x14ac:dyDescent="0.45">
      <c r="A7" s="9" t="s">
        <v>143</v>
      </c>
      <c r="B7" s="170" t="s">
        <v>143</v>
      </c>
      <c r="C7" s="2">
        <v>0</v>
      </c>
      <c r="V7" s="10"/>
      <c r="X7" s="86"/>
      <c r="Y7" s="2"/>
      <c r="Z7" s="2"/>
      <c r="AA7" s="2"/>
      <c r="AB7" s="2"/>
      <c r="AQ7" s="10"/>
    </row>
    <row r="8" spans="1:43" s="5" customFormat="1" ht="42.75" x14ac:dyDescent="0.45">
      <c r="A8" s="180" t="s">
        <v>145</v>
      </c>
      <c r="B8" s="31">
        <v>2025</v>
      </c>
      <c r="C8" s="188"/>
      <c r="D8" s="188"/>
      <c r="E8" s="188"/>
      <c r="F8" s="188"/>
      <c r="G8" s="188"/>
      <c r="H8" s="188"/>
      <c r="I8" s="188"/>
      <c r="J8" s="188"/>
      <c r="K8" s="188"/>
      <c r="L8" s="188"/>
      <c r="M8" s="188"/>
      <c r="N8" s="188"/>
      <c r="O8" s="188"/>
      <c r="P8" s="188"/>
      <c r="Q8" s="188"/>
      <c r="R8" s="188">
        <f>Expenses!R19+Expenses!R37+Expenses!R42+Expenses!R43</f>
        <v>38800220</v>
      </c>
      <c r="S8" s="188"/>
      <c r="T8" s="188"/>
      <c r="U8" s="188"/>
      <c r="V8" s="189"/>
      <c r="X8" s="110"/>
      <c r="AM8" s="5">
        <f>Expenses!$R$19/20+Expenses!$R$37/5+Expenses!$R$42/5+Expenses!$R$43/5</f>
        <v>2729011</v>
      </c>
      <c r="AN8" s="5">
        <f>Expenses!$R$19/20+Expenses!$R$37/5+Expenses!$R$42/5+Expenses!$R$43/5</f>
        <v>2729011</v>
      </c>
      <c r="AO8" s="5">
        <f>Expenses!$R$19/20+Expenses!$R$37/5+Expenses!$R$42/5+Expenses!$R$43/5</f>
        <v>2729011</v>
      </c>
      <c r="AP8" s="5">
        <f>Expenses!$R$19/20+Expenses!$R$37/5+Expenses!$R$42/5+Expenses!$R$43/5</f>
        <v>2729011</v>
      </c>
      <c r="AQ8" s="5">
        <f>Expenses!$R$19/20+Expenses!$R$37/5+Expenses!$R$42/5+Expenses!$R$43/5</f>
        <v>2729011</v>
      </c>
    </row>
    <row r="9" spans="1:43" s="192" customFormat="1" x14ac:dyDescent="0.45">
      <c r="A9" s="180" t="s">
        <v>144</v>
      </c>
      <c r="B9" s="181">
        <v>2026</v>
      </c>
      <c r="C9" s="190"/>
      <c r="D9" s="190"/>
      <c r="E9" s="190"/>
      <c r="F9" s="190"/>
      <c r="G9" s="190"/>
      <c r="H9" s="190"/>
      <c r="I9" s="190"/>
      <c r="J9" s="190"/>
      <c r="K9" s="190"/>
      <c r="L9" s="190"/>
      <c r="M9" s="190"/>
      <c r="N9" s="190"/>
      <c r="O9" s="190"/>
      <c r="P9" s="190"/>
      <c r="Q9" s="190"/>
      <c r="R9" s="190"/>
      <c r="S9" s="190">
        <f>Expenses!S19</f>
        <v>62969500</v>
      </c>
      <c r="T9" s="190"/>
      <c r="U9" s="190"/>
      <c r="V9" s="191"/>
      <c r="X9" s="193"/>
      <c r="AN9" s="192">
        <f>$S$9/20</f>
        <v>3148475</v>
      </c>
      <c r="AO9" s="192">
        <f>$S$9/20</f>
        <v>3148475</v>
      </c>
      <c r="AP9" s="192">
        <f>$S$9/20</f>
        <v>3148475</v>
      </c>
      <c r="AQ9" s="192">
        <f>$S$9/20</f>
        <v>3148475</v>
      </c>
    </row>
    <row r="10" spans="1:43" s="192" customFormat="1" x14ac:dyDescent="0.45">
      <c r="A10" s="180" t="s">
        <v>223</v>
      </c>
      <c r="B10" s="181">
        <v>2025</v>
      </c>
      <c r="C10" s="190"/>
      <c r="D10" s="190"/>
      <c r="E10" s="190"/>
      <c r="F10" s="190"/>
      <c r="G10" s="190"/>
      <c r="H10" s="190"/>
      <c r="I10" s="190"/>
      <c r="J10" s="190"/>
      <c r="K10" s="190"/>
      <c r="L10" s="190"/>
      <c r="M10" s="190"/>
      <c r="N10" s="190"/>
      <c r="O10" s="190"/>
      <c r="P10" s="190"/>
      <c r="Q10" s="190"/>
      <c r="R10" s="190">
        <v>1500000</v>
      </c>
      <c r="S10" s="190"/>
      <c r="T10" s="190"/>
      <c r="U10" s="190"/>
      <c r="V10" s="191"/>
      <c r="X10" s="193"/>
      <c r="AM10" s="192">
        <f>$R$10/5</f>
        <v>300000</v>
      </c>
      <c r="AN10" s="192">
        <f>$R$10/5</f>
        <v>300000</v>
      </c>
      <c r="AO10" s="192">
        <f>$R$10/5</f>
        <v>300000</v>
      </c>
      <c r="AP10" s="192">
        <f>$R$10/5</f>
        <v>300000</v>
      </c>
      <c r="AQ10" s="192">
        <f>$R$10/5</f>
        <v>300000</v>
      </c>
    </row>
    <row r="11" spans="1:43" s="192" customFormat="1" x14ac:dyDescent="0.45">
      <c r="A11" s="180" t="s">
        <v>222</v>
      </c>
      <c r="B11" s="181">
        <v>2025</v>
      </c>
      <c r="C11" s="190"/>
      <c r="D11" s="190"/>
      <c r="E11" s="190"/>
      <c r="F11" s="190"/>
      <c r="G11" s="190"/>
      <c r="H11" s="190"/>
      <c r="I11" s="190"/>
      <c r="J11" s="190"/>
      <c r="K11" s="190"/>
      <c r="L11" s="190"/>
      <c r="M11" s="190"/>
      <c r="N11" s="190"/>
      <c r="O11" s="190"/>
      <c r="P11" s="190"/>
      <c r="Q11" s="190"/>
      <c r="R11" s="190">
        <v>750000</v>
      </c>
      <c r="S11" s="190"/>
      <c r="T11" s="190"/>
      <c r="U11" s="190"/>
      <c r="V11" s="191"/>
      <c r="X11" s="193"/>
      <c r="AM11" s="192">
        <f>$R$11/5</f>
        <v>150000</v>
      </c>
      <c r="AN11" s="192">
        <f>$R$11/5</f>
        <v>150000</v>
      </c>
      <c r="AO11" s="192">
        <f>$R$11/5</f>
        <v>150000</v>
      </c>
      <c r="AP11" s="192">
        <f>$R$11/5</f>
        <v>150000</v>
      </c>
      <c r="AQ11" s="192">
        <f>$R$11/5</f>
        <v>150000</v>
      </c>
    </row>
    <row r="12" spans="1:43" s="192" customFormat="1" x14ac:dyDescent="0.45">
      <c r="A12" s="180"/>
      <c r="B12" s="181"/>
      <c r="C12" s="190"/>
      <c r="D12" s="190"/>
      <c r="E12" s="190"/>
      <c r="F12" s="190"/>
      <c r="G12" s="190"/>
      <c r="H12" s="190"/>
      <c r="I12" s="190"/>
      <c r="J12" s="190"/>
      <c r="K12" s="190"/>
      <c r="L12" s="190"/>
      <c r="M12" s="190"/>
      <c r="N12" s="190"/>
      <c r="O12" s="190"/>
      <c r="P12" s="190"/>
      <c r="Q12" s="190"/>
      <c r="R12" s="190"/>
      <c r="S12" s="190"/>
      <c r="T12" s="190"/>
      <c r="U12" s="190"/>
      <c r="V12" s="191"/>
      <c r="X12" s="193"/>
    </row>
    <row r="13" spans="1:43" s="2" customFormat="1" x14ac:dyDescent="0.45">
      <c r="A13" s="9"/>
      <c r="B13"/>
      <c r="V13" s="87"/>
      <c r="X13" s="86"/>
      <c r="AQ13" s="87"/>
    </row>
    <row r="14" spans="1:43" s="2" customFormat="1" ht="14.65" thickBot="1" x14ac:dyDescent="0.5">
      <c r="A14" s="9" t="s">
        <v>146</v>
      </c>
      <c r="B14"/>
      <c r="C14" s="194">
        <f t="shared" ref="C14:V14" si="0">SUM(C8:C9)</f>
        <v>0</v>
      </c>
      <c r="D14" s="194">
        <f t="shared" si="0"/>
        <v>0</v>
      </c>
      <c r="E14" s="194">
        <f t="shared" si="0"/>
        <v>0</v>
      </c>
      <c r="F14" s="194">
        <f t="shared" si="0"/>
        <v>0</v>
      </c>
      <c r="G14" s="194">
        <f t="shared" si="0"/>
        <v>0</v>
      </c>
      <c r="H14" s="194">
        <f t="shared" si="0"/>
        <v>0</v>
      </c>
      <c r="I14" s="194">
        <f t="shared" si="0"/>
        <v>0</v>
      </c>
      <c r="J14" s="194">
        <f t="shared" si="0"/>
        <v>0</v>
      </c>
      <c r="K14" s="194">
        <f t="shared" si="0"/>
        <v>0</v>
      </c>
      <c r="L14" s="194">
        <f t="shared" si="0"/>
        <v>0</v>
      </c>
      <c r="M14" s="194">
        <f t="shared" si="0"/>
        <v>0</v>
      </c>
      <c r="N14" s="194">
        <f t="shared" si="0"/>
        <v>0</v>
      </c>
      <c r="O14" s="194">
        <f t="shared" si="0"/>
        <v>0</v>
      </c>
      <c r="P14" s="194">
        <f t="shared" si="0"/>
        <v>0</v>
      </c>
      <c r="Q14" s="194">
        <f t="shared" si="0"/>
        <v>0</v>
      </c>
      <c r="R14" s="194">
        <f t="shared" si="0"/>
        <v>38800220</v>
      </c>
      <c r="S14" s="194">
        <f t="shared" si="0"/>
        <v>62969500</v>
      </c>
      <c r="T14" s="194">
        <f t="shared" si="0"/>
        <v>0</v>
      </c>
      <c r="U14" s="194">
        <f t="shared" si="0"/>
        <v>0</v>
      </c>
      <c r="V14" s="194">
        <f t="shared" si="0"/>
        <v>0</v>
      </c>
      <c r="X14" s="195">
        <f t="shared" ref="X14:AQ14" si="1">SUM(X7:X13)</f>
        <v>0</v>
      </c>
      <c r="Y14" s="195">
        <f t="shared" si="1"/>
        <v>0</v>
      </c>
      <c r="Z14" s="195">
        <f t="shared" si="1"/>
        <v>0</v>
      </c>
      <c r="AA14" s="195">
        <f t="shared" si="1"/>
        <v>0</v>
      </c>
      <c r="AB14" s="195">
        <f t="shared" si="1"/>
        <v>0</v>
      </c>
      <c r="AC14" s="195">
        <f t="shared" si="1"/>
        <v>0</v>
      </c>
      <c r="AD14" s="195">
        <f t="shared" si="1"/>
        <v>0</v>
      </c>
      <c r="AE14" s="195">
        <f t="shared" si="1"/>
        <v>0</v>
      </c>
      <c r="AF14" s="195">
        <f t="shared" si="1"/>
        <v>0</v>
      </c>
      <c r="AG14" s="195">
        <f t="shared" si="1"/>
        <v>0</v>
      </c>
      <c r="AH14" s="195">
        <f t="shared" si="1"/>
        <v>0</v>
      </c>
      <c r="AI14" s="195">
        <f t="shared" si="1"/>
        <v>0</v>
      </c>
      <c r="AJ14" s="195">
        <f t="shared" si="1"/>
        <v>0</v>
      </c>
      <c r="AK14" s="195">
        <f t="shared" si="1"/>
        <v>0</v>
      </c>
      <c r="AL14" s="195">
        <f t="shared" si="1"/>
        <v>0</v>
      </c>
      <c r="AM14" s="195">
        <f t="shared" si="1"/>
        <v>3179011</v>
      </c>
      <c r="AN14" s="195">
        <f t="shared" si="1"/>
        <v>6327486</v>
      </c>
      <c r="AO14" s="195">
        <f t="shared" si="1"/>
        <v>6327486</v>
      </c>
      <c r="AP14" s="195">
        <f t="shared" si="1"/>
        <v>6327486</v>
      </c>
      <c r="AQ14" s="195">
        <f t="shared" si="1"/>
        <v>6327486</v>
      </c>
    </row>
    <row r="15" spans="1:43" ht="15" thickTop="1" thickBot="1" x14ac:dyDescent="0.5">
      <c r="A15" s="11"/>
      <c r="B15" s="12"/>
      <c r="C15" s="12"/>
      <c r="D15" s="12"/>
      <c r="E15" s="12"/>
      <c r="F15" s="12"/>
      <c r="G15" s="12"/>
      <c r="H15" s="12"/>
      <c r="I15" s="12"/>
      <c r="J15" s="12"/>
      <c r="K15" s="12"/>
      <c r="L15" s="12"/>
      <c r="M15" s="12"/>
      <c r="N15" s="12"/>
      <c r="O15" s="12"/>
      <c r="P15" s="12"/>
      <c r="Q15" s="12"/>
      <c r="R15" s="12"/>
      <c r="S15" s="12"/>
      <c r="T15" s="12"/>
      <c r="U15" s="12"/>
      <c r="V15" s="13"/>
      <c r="X15" s="11"/>
      <c r="Y15" s="12"/>
      <c r="Z15" s="12"/>
      <c r="AA15" s="12"/>
      <c r="AB15" s="12"/>
      <c r="AC15" s="12"/>
      <c r="AD15" s="12"/>
      <c r="AE15" s="12"/>
      <c r="AF15" s="12"/>
      <c r="AG15" s="12"/>
      <c r="AH15" s="12"/>
      <c r="AI15" s="12"/>
      <c r="AJ15" s="12"/>
      <c r="AK15" s="12"/>
      <c r="AL15" s="12"/>
      <c r="AM15" s="12"/>
      <c r="AN15" s="12"/>
      <c r="AO15" s="12"/>
      <c r="AP15" s="12"/>
      <c r="AQ15" s="13"/>
    </row>
    <row r="16" spans="1:43" x14ac:dyDescent="0.45">
      <c r="Y16" t="s">
        <v>155</v>
      </c>
    </row>
    <row r="17" spans="1:25" x14ac:dyDescent="0.45">
      <c r="Y17" t="s">
        <v>154</v>
      </c>
    </row>
    <row r="19" spans="1:25" x14ac:dyDescent="0.45">
      <c r="A19" s="287"/>
      <c r="B19" s="287"/>
      <c r="C19" s="286"/>
      <c r="D19" s="286"/>
      <c r="E19" s="286"/>
      <c r="F19" s="286"/>
      <c r="G19" s="286"/>
      <c r="H19" s="286"/>
      <c r="I19" s="286"/>
      <c r="J19" s="286"/>
      <c r="K19" s="286"/>
      <c r="L19" s="286"/>
      <c r="M19" s="286"/>
      <c r="N19" s="286"/>
      <c r="O19" s="286"/>
      <c r="P19" s="286"/>
      <c r="Q19" s="222"/>
      <c r="R19" s="286"/>
      <c r="S19" s="286"/>
      <c r="T19" s="286"/>
      <c r="U19" s="286"/>
      <c r="V19" s="286"/>
    </row>
    <row r="20" spans="1:25" x14ac:dyDescent="0.45">
      <c r="A20" s="288"/>
      <c r="B20" s="288"/>
      <c r="Q20" s="170"/>
    </row>
    <row r="22" spans="1:25" x14ac:dyDescent="0.45">
      <c r="A22" s="4"/>
    </row>
    <row r="24" spans="1:25" x14ac:dyDescent="0.45">
      <c r="C24" s="2"/>
      <c r="D24" s="2"/>
      <c r="E24" s="2"/>
      <c r="F24" s="2"/>
      <c r="G24" s="2"/>
      <c r="H24" s="2"/>
      <c r="I24" s="2"/>
      <c r="J24" s="2"/>
      <c r="K24" s="2"/>
      <c r="L24" s="2"/>
      <c r="M24" s="2"/>
      <c r="N24" s="2"/>
      <c r="O24" s="2"/>
      <c r="P24" s="2"/>
      <c r="Q24" s="2"/>
      <c r="R24" s="2"/>
      <c r="S24" s="2"/>
      <c r="T24" s="2"/>
      <c r="U24" s="2"/>
      <c r="V24" s="2"/>
    </row>
    <row r="28" spans="1:25" x14ac:dyDescent="0.45">
      <c r="A28" s="4"/>
    </row>
    <row r="30" spans="1:25" x14ac:dyDescent="0.45">
      <c r="C30" s="2"/>
      <c r="D30" s="2"/>
      <c r="E30" s="2"/>
      <c r="F30" s="2"/>
      <c r="G30" s="2"/>
      <c r="H30" s="2"/>
      <c r="I30" s="2"/>
      <c r="J30" s="2"/>
      <c r="K30" s="2"/>
      <c r="L30" s="2"/>
      <c r="M30" s="2"/>
      <c r="N30" s="2"/>
      <c r="O30" s="2"/>
      <c r="P30" s="2"/>
      <c r="Q30" s="2"/>
      <c r="R30" s="2"/>
      <c r="S30" s="2"/>
      <c r="T30" s="2"/>
      <c r="U30" s="2"/>
      <c r="V30" s="2"/>
    </row>
    <row r="32" spans="1:25" x14ac:dyDescent="0.45">
      <c r="C32" s="2"/>
      <c r="D32" s="2"/>
      <c r="E32" s="2"/>
      <c r="F32" s="2"/>
      <c r="G32" s="2"/>
      <c r="H32" s="2"/>
      <c r="I32" s="2"/>
      <c r="J32" s="2"/>
      <c r="K32" s="2"/>
      <c r="L32" s="2"/>
      <c r="M32" s="2"/>
      <c r="N32" s="2"/>
      <c r="O32" s="2"/>
      <c r="P32" s="2"/>
      <c r="Q32" s="2"/>
      <c r="R32" s="2"/>
      <c r="S32" s="2"/>
      <c r="T32" s="2"/>
      <c r="U32" s="2"/>
      <c r="V32" s="2"/>
    </row>
  </sheetData>
  <mergeCells count="8">
    <mergeCell ref="AM3:AQ3"/>
    <mergeCell ref="C19:P19"/>
    <mergeCell ref="R19:V19"/>
    <mergeCell ref="A19:B19"/>
    <mergeCell ref="A20:B20"/>
    <mergeCell ref="C3:P3"/>
    <mergeCell ref="R3:V3"/>
    <mergeCell ref="X3:AK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0EBB4-8A0A-4BAD-9885-608BA180444D}">
  <dimension ref="A1:X89"/>
  <sheetViews>
    <sheetView zoomScale="50" zoomScaleNormal="50" workbookViewId="0">
      <pane xSplit="1" ySplit="3" topLeftCell="G4" activePane="bottomRight" state="frozen"/>
      <selection activeCell="A3" sqref="A3"/>
      <selection pane="topRight" activeCell="B3" sqref="B3"/>
      <selection pane="bottomLeft" activeCell="A4" sqref="A4"/>
      <selection pane="bottomRight" activeCell="A34" sqref="A34:XFD34"/>
    </sheetView>
  </sheetViews>
  <sheetFormatPr defaultRowHeight="14.25" x14ac:dyDescent="0.45"/>
  <cols>
    <col min="1" max="1" width="58.59765625" style="31" bestFit="1" customWidth="1"/>
    <col min="2" max="2" width="15.33203125" style="31" hidden="1" customWidth="1"/>
    <col min="3" max="5" width="13.86328125" style="31" bestFit="1" customWidth="1"/>
    <col min="6" max="7" width="14.86328125" style="31" bestFit="1" customWidth="1"/>
    <col min="8" max="8" width="25.73046875" style="31" bestFit="1" customWidth="1"/>
    <col min="9" max="15" width="14.86328125" style="31" bestFit="1" customWidth="1"/>
    <col min="16" max="16" width="21.9296875" style="31" bestFit="1" customWidth="1"/>
    <col min="17" max="22" width="15.3984375" style="31" bestFit="1" customWidth="1"/>
    <col min="23" max="23" width="6.59765625" style="31" bestFit="1" customWidth="1"/>
    <col min="24" max="24" width="6.19921875" style="31" bestFit="1" customWidth="1"/>
    <col min="25" max="16384" width="9.06640625" style="31"/>
  </cols>
  <sheetData>
    <row r="1" spans="1:24" ht="16.149999999999999" thickBot="1" x14ac:dyDescent="0.5">
      <c r="H1" s="197" t="s">
        <v>156</v>
      </c>
    </row>
    <row r="2" spans="1:24" x14ac:dyDescent="0.45">
      <c r="C2" s="289" t="s">
        <v>2</v>
      </c>
      <c r="D2" s="290"/>
      <c r="E2" s="290"/>
      <c r="F2" s="290"/>
      <c r="G2" s="290"/>
      <c r="H2" s="290"/>
      <c r="I2" s="290"/>
      <c r="J2" s="290"/>
      <c r="K2" s="290"/>
      <c r="L2" s="290"/>
      <c r="M2" s="290"/>
      <c r="N2" s="290"/>
      <c r="O2" s="290"/>
      <c r="P2" s="291"/>
      <c r="Q2" s="198" t="s">
        <v>1</v>
      </c>
      <c r="R2" s="289" t="s">
        <v>3</v>
      </c>
      <c r="S2" s="290"/>
      <c r="T2" s="290"/>
      <c r="U2" s="290"/>
      <c r="V2" s="291"/>
      <c r="W2" s="292" t="s">
        <v>22</v>
      </c>
      <c r="X2" s="293"/>
    </row>
    <row r="3" spans="1:24" x14ac:dyDescent="0.45">
      <c r="B3" s="31">
        <v>2009</v>
      </c>
      <c r="C3" s="199">
        <v>2010</v>
      </c>
      <c r="D3" s="31">
        <v>2011</v>
      </c>
      <c r="E3" s="31">
        <v>2012</v>
      </c>
      <c r="F3" s="31">
        <v>2013</v>
      </c>
      <c r="G3" s="31">
        <v>2014</v>
      </c>
      <c r="H3" s="31">
        <v>2015</v>
      </c>
      <c r="I3" s="31">
        <v>2016</v>
      </c>
      <c r="J3" s="31">
        <v>2017</v>
      </c>
      <c r="K3" s="31">
        <v>2018</v>
      </c>
      <c r="L3" s="31">
        <v>2019</v>
      </c>
      <c r="M3" s="31">
        <v>2020</v>
      </c>
      <c r="N3" s="31">
        <v>2021</v>
      </c>
      <c r="O3" s="31">
        <v>2022</v>
      </c>
      <c r="P3" s="200">
        <v>2023</v>
      </c>
      <c r="Q3" s="201">
        <v>2024</v>
      </c>
      <c r="R3" s="199">
        <v>2025</v>
      </c>
      <c r="S3" s="31">
        <v>2026</v>
      </c>
      <c r="T3" s="31">
        <v>2027</v>
      </c>
      <c r="U3" s="31">
        <v>2028</v>
      </c>
      <c r="V3" s="200">
        <v>2029</v>
      </c>
      <c r="W3" s="202" t="s">
        <v>2</v>
      </c>
      <c r="X3" s="203" t="s">
        <v>23</v>
      </c>
    </row>
    <row r="4" spans="1:24" ht="14.65" thickBot="1" x14ac:dyDescent="0.5">
      <c r="C4" s="204"/>
      <c r="D4" s="205"/>
      <c r="E4" s="205"/>
      <c r="F4" s="205"/>
      <c r="G4" s="205"/>
      <c r="H4" s="205"/>
      <c r="I4" s="205"/>
      <c r="J4" s="205"/>
      <c r="K4" s="205"/>
      <c r="L4" s="205"/>
      <c r="M4" s="205"/>
      <c r="N4" s="205"/>
      <c r="O4" s="205"/>
      <c r="P4" s="206"/>
      <c r="Q4" s="207"/>
      <c r="R4" s="207"/>
      <c r="S4" s="207"/>
      <c r="T4" s="207"/>
      <c r="U4" s="207"/>
      <c r="V4" s="207"/>
      <c r="W4" s="202"/>
      <c r="X4" s="203"/>
    </row>
    <row r="5" spans="1:24" x14ac:dyDescent="0.45">
      <c r="A5" s="208" t="s">
        <v>157</v>
      </c>
      <c r="B5" s="223"/>
      <c r="C5" s="209"/>
      <c r="D5" s="209"/>
      <c r="E5" s="209"/>
      <c r="F5" s="209"/>
      <c r="G5" s="209"/>
      <c r="H5" s="209"/>
      <c r="I5" s="209"/>
      <c r="J5" s="209"/>
      <c r="K5" s="209"/>
      <c r="L5" s="209"/>
      <c r="M5" s="209"/>
      <c r="N5" s="209"/>
      <c r="O5" s="209"/>
      <c r="P5" s="209"/>
      <c r="Q5" s="209"/>
      <c r="R5" s="209"/>
      <c r="S5" s="209"/>
      <c r="T5" s="209"/>
      <c r="U5" s="209"/>
      <c r="V5" s="209"/>
      <c r="W5" s="209"/>
      <c r="X5" s="210"/>
    </row>
    <row r="6" spans="1:24" x14ac:dyDescent="0.45">
      <c r="A6" s="199" t="s">
        <v>158</v>
      </c>
      <c r="C6" s="5">
        <f>'Revenue and Margins'!C61</f>
        <v>47102513.140000001</v>
      </c>
      <c r="D6" s="5">
        <f>'Revenue and Margins'!D61</f>
        <v>36319397.030000001</v>
      </c>
      <c r="E6" s="5">
        <f>'Revenue and Margins'!E61</f>
        <v>38103827.700000003</v>
      </c>
      <c r="F6" s="5">
        <f>'Revenue and Margins'!F61</f>
        <v>39270377.609999999</v>
      </c>
      <c r="G6" s="5">
        <f>'Revenue and Margins'!G61</f>
        <v>44256581.259999998</v>
      </c>
      <c r="H6" s="5">
        <f>'Revenue and Margins'!H61</f>
        <v>43619069.719999999</v>
      </c>
      <c r="I6" s="5">
        <f>'Revenue and Margins'!I61</f>
        <v>43950089.280000001</v>
      </c>
      <c r="J6" s="5">
        <f>'Revenue and Margins'!J61</f>
        <v>44966920.759999998</v>
      </c>
      <c r="K6" s="5">
        <f>'Revenue and Margins'!K61</f>
        <v>45490678.640000001</v>
      </c>
      <c r="L6" s="5">
        <f>'Revenue and Margins'!L61</f>
        <v>46493271.119999997</v>
      </c>
      <c r="M6" s="5">
        <f>'Revenue and Margins'!M61</f>
        <v>44862620.130000003</v>
      </c>
      <c r="N6" s="5">
        <f>'Revenue and Margins'!N61</f>
        <v>46495023.869999997</v>
      </c>
      <c r="O6" s="5">
        <f>'Revenue and Margins'!O61</f>
        <v>47209956.939999998</v>
      </c>
      <c r="P6" s="5">
        <f>'Revenue and Margins'!P61</f>
        <v>48489260.350000001</v>
      </c>
      <c r="Q6" s="5">
        <f>'Revenue and Margins'!Q61</f>
        <v>49004916.461443655</v>
      </c>
      <c r="R6" s="5">
        <f>'Revenue and Margins'!R61</f>
        <v>86100532.195053667</v>
      </c>
      <c r="S6" s="5">
        <f>'Revenue and Margins'!S61</f>
        <v>92176484.687595189</v>
      </c>
      <c r="T6" s="5">
        <f>'Revenue and Margins'!T61</f>
        <v>94000635.887323886</v>
      </c>
      <c r="U6" s="5">
        <f>'Revenue and Margins'!U61</f>
        <v>95932021.858347356</v>
      </c>
      <c r="V6" s="5">
        <f>'Revenue and Margins'!V61</f>
        <v>97359604.547299936</v>
      </c>
      <c r="W6" s="211">
        <f>'Revenue and Margins'!W61</f>
        <v>2.2344912401250916E-3</v>
      </c>
      <c r="X6" s="212">
        <f>'Revenue and Margins'!X61</f>
        <v>0.14717012812057217</v>
      </c>
    </row>
    <row r="7" spans="1:24" x14ac:dyDescent="0.45">
      <c r="A7" s="199" t="s">
        <v>270</v>
      </c>
      <c r="C7" s="5">
        <f>'Revenue and Margins'!C63</f>
        <v>33584584.970000006</v>
      </c>
      <c r="D7" s="5">
        <f>'Revenue and Margins'!D63</f>
        <v>33039275.449999999</v>
      </c>
      <c r="E7" s="5">
        <f>'Revenue and Margins'!E63</f>
        <v>35046959.520000003</v>
      </c>
      <c r="F7" s="5">
        <f>'Revenue and Margins'!F63</f>
        <v>33749884.920000002</v>
      </c>
      <c r="G7" s="5">
        <f>'Revenue and Margins'!G63</f>
        <v>33859334.490000002</v>
      </c>
      <c r="H7" s="5">
        <f>'Revenue and Margins'!H63</f>
        <v>32467656.530000001</v>
      </c>
      <c r="I7" s="5">
        <f>'Revenue and Margins'!I63</f>
        <v>32919860.859999999</v>
      </c>
      <c r="J7" s="5">
        <f>'Revenue and Margins'!J63</f>
        <v>32508666.940000001</v>
      </c>
      <c r="K7" s="5">
        <f>'Revenue and Margins'!K63</f>
        <v>31902032.98</v>
      </c>
      <c r="L7" s="5">
        <f>'Revenue and Margins'!L63</f>
        <v>33831022.150000006</v>
      </c>
      <c r="M7" s="5">
        <f>'Revenue and Margins'!M63</f>
        <v>34664515.969999999</v>
      </c>
      <c r="N7" s="5">
        <f>'Revenue and Margins'!N63</f>
        <v>34179925</v>
      </c>
      <c r="O7" s="5">
        <f>'Revenue and Margins'!O63</f>
        <v>35653469.960000001</v>
      </c>
      <c r="P7" s="5">
        <f>'Revenue and Margins'!P63</f>
        <v>35451340.909999996</v>
      </c>
      <c r="Q7" s="5">
        <f>'Revenue and Margins'!Q63</f>
        <v>34719961.14510566</v>
      </c>
      <c r="R7" s="5">
        <f>'Revenue and Margins'!R63</f>
        <v>60150820.694290914</v>
      </c>
      <c r="S7" s="5">
        <f>'Revenue and Margins'!S63</f>
        <v>63880665.218462348</v>
      </c>
      <c r="T7" s="5">
        <f>'Revenue and Margins'!T63</f>
        <v>64653620.854729883</v>
      </c>
      <c r="U7" s="5">
        <f>'Revenue and Margins'!U63</f>
        <v>65492348.049849093</v>
      </c>
      <c r="V7" s="5">
        <f>'Revenue and Margins'!V63</f>
        <v>65982196.759155475</v>
      </c>
      <c r="X7" s="200"/>
    </row>
    <row r="8" spans="1:24" x14ac:dyDescent="0.45">
      <c r="A8" s="199" t="s">
        <v>159</v>
      </c>
      <c r="C8" s="211">
        <f>C7/C6</f>
        <v>0.71301046868090756</v>
      </c>
      <c r="D8" s="211">
        <f t="shared" ref="D8:V8" si="0">D7/D6</f>
        <v>0.90968678314536433</v>
      </c>
      <c r="E8" s="211">
        <f t="shared" si="0"/>
        <v>0.91977529910991074</v>
      </c>
      <c r="F8" s="211">
        <f t="shared" si="0"/>
        <v>0.85942348849239913</v>
      </c>
      <c r="G8" s="211">
        <f t="shared" si="0"/>
        <v>0.76506891237445762</v>
      </c>
      <c r="H8" s="211">
        <f t="shared" si="0"/>
        <v>0.74434546033229798</v>
      </c>
      <c r="I8" s="211">
        <f t="shared" si="0"/>
        <v>0.74902830459051117</v>
      </c>
      <c r="J8" s="211">
        <f t="shared" si="0"/>
        <v>0.72294625450355166</v>
      </c>
      <c r="K8" s="211">
        <f t="shared" si="0"/>
        <v>0.70128725122927738</v>
      </c>
      <c r="L8" s="211">
        <f t="shared" si="0"/>
        <v>0.72765416016183304</v>
      </c>
      <c r="M8" s="211">
        <f t="shared" si="0"/>
        <v>0.77268148560096139</v>
      </c>
      <c r="N8" s="211">
        <f t="shared" si="0"/>
        <v>0.73513081949515735</v>
      </c>
      <c r="O8" s="211">
        <f t="shared" si="0"/>
        <v>0.75521081295017178</v>
      </c>
      <c r="P8" s="211">
        <f t="shared" si="0"/>
        <v>0.73111737844852476</v>
      </c>
      <c r="Q8" s="211">
        <f t="shared" si="0"/>
        <v>0.70849954764075174</v>
      </c>
      <c r="R8" s="211">
        <f t="shared" si="0"/>
        <v>0.69861148544383189</v>
      </c>
      <c r="S8" s="211">
        <f t="shared" si="0"/>
        <v>0.69302561748765845</v>
      </c>
      <c r="T8" s="211">
        <f t="shared" si="0"/>
        <v>0.68779982437808718</v>
      </c>
      <c r="U8" s="211">
        <f t="shared" si="0"/>
        <v>0.68269537930259305</v>
      </c>
      <c r="V8" s="211">
        <f t="shared" si="0"/>
        <v>0.67771635953081066</v>
      </c>
      <c r="X8" s="200"/>
    </row>
    <row r="9" spans="1:24" x14ac:dyDescent="0.45">
      <c r="A9" s="199" t="s">
        <v>160</v>
      </c>
      <c r="C9" s="5">
        <f>Expenses!C54</f>
        <v>17322482.757378381</v>
      </c>
      <c r="D9" s="5">
        <f>Expenses!D54</f>
        <v>18000107.556152254</v>
      </c>
      <c r="E9" s="5">
        <f>Expenses!E54</f>
        <v>17666028.723365497</v>
      </c>
      <c r="F9" s="5">
        <f>Expenses!F54</f>
        <v>19064061.47783903</v>
      </c>
      <c r="G9" s="5">
        <f>Expenses!G54</f>
        <v>28551557.677472405</v>
      </c>
      <c r="H9" s="5">
        <f>Expenses!H54</f>
        <v>35853166.46366144</v>
      </c>
      <c r="I9" s="5">
        <f>Expenses!I54</f>
        <v>35801430.420000002</v>
      </c>
      <c r="J9" s="5">
        <f>Expenses!J54</f>
        <v>35593403.520000003</v>
      </c>
      <c r="K9" s="5">
        <f>Expenses!K54</f>
        <v>36608079.399999999</v>
      </c>
      <c r="L9" s="5">
        <f>Expenses!L54</f>
        <v>35736835.020000003</v>
      </c>
      <c r="M9" s="5">
        <f>Expenses!M54</f>
        <v>31142954.199999999</v>
      </c>
      <c r="N9" s="5">
        <f>Expenses!N54</f>
        <v>32410757.57</v>
      </c>
      <c r="O9" s="5">
        <f>Expenses!O54</f>
        <v>36409289.380000003</v>
      </c>
      <c r="P9" s="5">
        <f>Expenses!P54</f>
        <v>38202929.5</v>
      </c>
      <c r="Q9" s="5">
        <f>Expenses!Q54</f>
        <v>39905609.252153851</v>
      </c>
      <c r="R9" s="5">
        <f>Expenses!R54</f>
        <v>92646332.480142295</v>
      </c>
      <c r="S9" s="5">
        <f>Expenses!S54</f>
        <v>108284478.56426042</v>
      </c>
      <c r="T9" s="5">
        <f>Expenses!T54</f>
        <v>46902844.648378544</v>
      </c>
      <c r="U9" s="5">
        <f>Expenses!U54</f>
        <v>48621710.732496664</v>
      </c>
      <c r="V9" s="5">
        <f>Expenses!V54</f>
        <v>50328576.816614777</v>
      </c>
      <c r="W9" s="211">
        <f>(Q9/C9)^(1/14)-1</f>
        <v>6.1420362235626191E-2</v>
      </c>
      <c r="X9" s="212">
        <f>(V9/Q9)^(1/5)-1</f>
        <v>4.7505087196669793E-2</v>
      </c>
    </row>
    <row r="10" spans="1:24" x14ac:dyDescent="0.45">
      <c r="A10" s="199" t="s">
        <v>161</v>
      </c>
      <c r="C10" s="5">
        <f>C7-C9</f>
        <v>16262102.212621626</v>
      </c>
      <c r="D10" s="5">
        <f t="shared" ref="D10:V10" si="1">D7-D9</f>
        <v>15039167.893847745</v>
      </c>
      <c r="E10" s="5">
        <f t="shared" si="1"/>
        <v>17380930.796634506</v>
      </c>
      <c r="F10" s="5">
        <f t="shared" si="1"/>
        <v>14685823.442160971</v>
      </c>
      <c r="G10" s="5">
        <f t="shared" si="1"/>
        <v>5307776.812527597</v>
      </c>
      <c r="H10" s="5">
        <f t="shared" si="1"/>
        <v>-3385509.9336614385</v>
      </c>
      <c r="I10" s="5">
        <f t="shared" si="1"/>
        <v>-2881569.5600000024</v>
      </c>
      <c r="J10" s="5">
        <f t="shared" si="1"/>
        <v>-3084736.5800000019</v>
      </c>
      <c r="K10" s="5">
        <f t="shared" si="1"/>
        <v>-4706046.4199999981</v>
      </c>
      <c r="L10" s="5">
        <f t="shared" si="1"/>
        <v>-1905812.8699999973</v>
      </c>
      <c r="M10" s="5">
        <f t="shared" si="1"/>
        <v>3521561.7699999996</v>
      </c>
      <c r="N10" s="5">
        <f t="shared" si="1"/>
        <v>1769167.4299999997</v>
      </c>
      <c r="O10" s="5">
        <f t="shared" si="1"/>
        <v>-755819.42000000179</v>
      </c>
      <c r="P10" s="5">
        <f t="shared" si="1"/>
        <v>-2751588.5900000036</v>
      </c>
      <c r="Q10" s="5">
        <f t="shared" si="1"/>
        <v>-5185648.1070481911</v>
      </c>
      <c r="R10" s="5">
        <f t="shared" si="1"/>
        <v>-32495511.785851382</v>
      </c>
      <c r="S10" s="5">
        <f t="shared" si="1"/>
        <v>-44403813.345798075</v>
      </c>
      <c r="T10" s="5">
        <f t="shared" si="1"/>
        <v>17750776.20635134</v>
      </c>
      <c r="U10" s="5">
        <f t="shared" si="1"/>
        <v>16870637.317352429</v>
      </c>
      <c r="V10" s="5">
        <f t="shared" si="1"/>
        <v>15653619.942540698</v>
      </c>
      <c r="X10" s="200"/>
    </row>
    <row r="11" spans="1:24" x14ac:dyDescent="0.45">
      <c r="A11" s="199" t="s">
        <v>162</v>
      </c>
      <c r="C11" s="211">
        <f>C10/C6</f>
        <v>0.34524914125678913</v>
      </c>
      <c r="D11" s="211">
        <f t="shared" ref="D11:V11" si="2">D10/D6</f>
        <v>0.41408088029174378</v>
      </c>
      <c r="E11" s="211">
        <f t="shared" si="2"/>
        <v>0.45614658279158932</v>
      </c>
      <c r="F11" s="211">
        <f t="shared" si="2"/>
        <v>0.37396695259740265</v>
      </c>
      <c r="G11" s="211">
        <f t="shared" si="2"/>
        <v>0.11993192111576124</v>
      </c>
      <c r="H11" s="211">
        <f t="shared" si="2"/>
        <v>-7.7615363083021721E-2</v>
      </c>
      <c r="I11" s="211">
        <f t="shared" si="2"/>
        <v>-6.5564589451500704E-2</v>
      </c>
      <c r="J11" s="211">
        <f t="shared" si="2"/>
        <v>-6.8600129336496785E-2</v>
      </c>
      <c r="K11" s="211">
        <f t="shared" si="2"/>
        <v>-0.10345078509912504</v>
      </c>
      <c r="L11" s="211">
        <f t="shared" si="2"/>
        <v>-4.0991154721745839E-2</v>
      </c>
      <c r="M11" s="211">
        <f t="shared" si="2"/>
        <v>7.8496569299685251E-2</v>
      </c>
      <c r="N11" s="211">
        <f t="shared" si="2"/>
        <v>3.805068333649185E-2</v>
      </c>
      <c r="O11" s="211">
        <f t="shared" si="2"/>
        <v>-1.6009746015243916E-2</v>
      </c>
      <c r="P11" s="211">
        <f t="shared" si="2"/>
        <v>-5.6746351050496142E-2</v>
      </c>
      <c r="Q11" s="211">
        <f t="shared" si="2"/>
        <v>-0.10581893576184713</v>
      </c>
      <c r="R11" s="211">
        <f t="shared" si="2"/>
        <v>-0.37741359963066751</v>
      </c>
      <c r="S11" s="211">
        <f t="shared" si="2"/>
        <v>-0.48172604429743238</v>
      </c>
      <c r="T11" s="211">
        <f t="shared" si="2"/>
        <v>0.18883676731324173</v>
      </c>
      <c r="U11" s="211">
        <f t="shared" si="2"/>
        <v>0.17586033308318583</v>
      </c>
      <c r="V11" s="211">
        <f t="shared" si="2"/>
        <v>0.16078146594089487</v>
      </c>
      <c r="X11" s="200"/>
    </row>
    <row r="12" spans="1:24" x14ac:dyDescent="0.45">
      <c r="A12" s="199" t="s">
        <v>163</v>
      </c>
      <c r="C12" s="5">
        <v>19590718.739999998</v>
      </c>
      <c r="D12" s="5">
        <v>18996868.670000002</v>
      </c>
      <c r="E12" s="5">
        <v>20031808.030000001</v>
      </c>
      <c r="F12" s="5">
        <v>19145258.109999999</v>
      </c>
      <c r="G12" s="5">
        <v>26893128.629999999</v>
      </c>
      <c r="H12" s="5">
        <v>16897697.399999999</v>
      </c>
      <c r="I12" s="5">
        <v>14925310.6</v>
      </c>
      <c r="J12" s="5">
        <v>15877335.48</v>
      </c>
      <c r="K12" s="5">
        <v>10540693.189999999</v>
      </c>
      <c r="L12" s="5">
        <v>16581688.23</v>
      </c>
      <c r="M12" s="5">
        <v>15176421.43</v>
      </c>
      <c r="N12" s="5">
        <v>17709387.170000002</v>
      </c>
      <c r="O12" s="5">
        <v>29547162.75</v>
      </c>
      <c r="P12" s="5">
        <v>15658676.609999999</v>
      </c>
      <c r="Q12" s="5">
        <f t="shared" ref="Q12:V12" si="3">_xlfn.FORECAST.ETS(Q3,C12:P12,C3:P3,1,1)</f>
        <v>17889969.378971964</v>
      </c>
      <c r="R12" s="5">
        <f t="shared" si="3"/>
        <v>17683458.714018721</v>
      </c>
      <c r="S12" s="5">
        <f t="shared" si="3"/>
        <v>18662142.565798122</v>
      </c>
      <c r="T12" s="5">
        <f t="shared" si="3"/>
        <v>18860002.643611927</v>
      </c>
      <c r="U12" s="5">
        <f t="shared" si="3"/>
        <v>18690872.79230785</v>
      </c>
      <c r="V12" s="5">
        <f t="shared" si="3"/>
        <v>21644134.327657122</v>
      </c>
      <c r="X12" s="200"/>
    </row>
    <row r="13" spans="1:24" ht="14.65" thickBot="1" x14ac:dyDescent="0.5">
      <c r="A13" s="199" t="s">
        <v>164</v>
      </c>
      <c r="C13" s="213">
        <v>13854079.74</v>
      </c>
      <c r="D13" s="213">
        <v>13195150.67</v>
      </c>
      <c r="E13" s="213">
        <v>13953979.029999999</v>
      </c>
      <c r="F13" s="213">
        <v>13344134.109999999</v>
      </c>
      <c r="G13" s="213">
        <v>18631689.629999999</v>
      </c>
      <c r="H13" s="213">
        <v>11787227.4</v>
      </c>
      <c r="I13" s="213">
        <v>10164770.6</v>
      </c>
      <c r="J13" s="213">
        <v>10951385.48</v>
      </c>
      <c r="K13" s="213">
        <v>7430576.1900000004</v>
      </c>
      <c r="L13" s="213">
        <v>11596396.23</v>
      </c>
      <c r="M13" s="213">
        <v>10605862.43</v>
      </c>
      <c r="N13" s="213">
        <v>11966978.17</v>
      </c>
      <c r="O13" s="213">
        <v>19749022.75</v>
      </c>
      <c r="P13" s="213">
        <v>9970859.6099999994</v>
      </c>
      <c r="Q13" s="213">
        <f t="shared" ref="Q13:V13" si="4">_xlfn.FORECAST.ETS(Q3,C13:P13,C3:P3,1,1)</f>
        <v>11879286.551428337</v>
      </c>
      <c r="R13" s="213">
        <f t="shared" si="4"/>
        <v>11513859.555103941</v>
      </c>
      <c r="S13" s="213">
        <f t="shared" si="4"/>
        <v>12076808.813662397</v>
      </c>
      <c r="T13" s="213">
        <f t="shared" si="4"/>
        <v>12084223.792661529</v>
      </c>
      <c r="U13" s="213">
        <f t="shared" si="4"/>
        <v>11930549.678819707</v>
      </c>
      <c r="V13" s="213">
        <f t="shared" si="4"/>
        <v>13770846.942583127</v>
      </c>
      <c r="X13" s="200"/>
    </row>
    <row r="14" spans="1:24" ht="15" thickTop="1" thickBot="1" x14ac:dyDescent="0.5">
      <c r="A14" s="214" t="s">
        <v>162</v>
      </c>
      <c r="B14" s="216"/>
      <c r="C14" s="215">
        <f>C13/C6</f>
        <v>0.29412612653644066</v>
      </c>
      <c r="D14" s="215">
        <f t="shared" ref="D14:V14" si="5">D13/D6</f>
        <v>0.36330863805642866</v>
      </c>
      <c r="E14" s="215">
        <f t="shared" si="5"/>
        <v>0.36620937769986817</v>
      </c>
      <c r="F14" s="215">
        <f t="shared" si="5"/>
        <v>0.33980152272846964</v>
      </c>
      <c r="G14" s="215">
        <f t="shared" si="5"/>
        <v>0.42099251906833801</v>
      </c>
      <c r="H14" s="215">
        <f t="shared" si="5"/>
        <v>0.27023105893052507</v>
      </c>
      <c r="I14" s="215">
        <f t="shared" si="5"/>
        <v>0.23127986237392234</v>
      </c>
      <c r="J14" s="215">
        <f t="shared" si="5"/>
        <v>0.24354314893942497</v>
      </c>
      <c r="K14" s="215">
        <f t="shared" si="5"/>
        <v>0.16334283005104011</v>
      </c>
      <c r="L14" s="215">
        <f t="shared" si="5"/>
        <v>0.24942095814401802</v>
      </c>
      <c r="M14" s="215">
        <f t="shared" si="5"/>
        <v>0.23640755709913991</v>
      </c>
      <c r="N14" s="215">
        <f t="shared" si="5"/>
        <v>0.25738191259906973</v>
      </c>
      <c r="O14" s="215">
        <f t="shared" si="5"/>
        <v>0.41832325276422927</v>
      </c>
      <c r="P14" s="215">
        <f t="shared" si="5"/>
        <v>0.20563026818782973</v>
      </c>
      <c r="Q14" s="215">
        <f t="shared" si="5"/>
        <v>0.24241009697006186</v>
      </c>
      <c r="R14" s="215">
        <f t="shared" si="5"/>
        <v>0.13372576523708635</v>
      </c>
      <c r="S14" s="215">
        <f t="shared" si="5"/>
        <v>0.13101832701250382</v>
      </c>
      <c r="T14" s="215">
        <f t="shared" si="5"/>
        <v>0.1285547026208054</v>
      </c>
      <c r="U14" s="215">
        <f t="shared" si="5"/>
        <v>0.12436462244521734</v>
      </c>
      <c r="V14" s="215">
        <f t="shared" si="5"/>
        <v>0.14144312732795536</v>
      </c>
      <c r="W14" s="216"/>
      <c r="X14" s="217"/>
    </row>
    <row r="15" spans="1:24" x14ac:dyDescent="0.45">
      <c r="A15" s="220"/>
      <c r="B15" s="225"/>
      <c r="C15" s="209"/>
      <c r="D15" s="209"/>
      <c r="E15" s="209"/>
      <c r="F15" s="209"/>
      <c r="G15" s="209"/>
      <c r="H15" s="209"/>
      <c r="I15" s="209"/>
      <c r="J15" s="209"/>
      <c r="K15" s="209"/>
      <c r="L15" s="209"/>
      <c r="M15" s="209"/>
      <c r="N15" s="209"/>
      <c r="O15" s="209"/>
      <c r="P15" s="209"/>
      <c r="Q15" s="209"/>
      <c r="R15" s="209"/>
      <c r="S15" s="209"/>
      <c r="T15" s="209"/>
      <c r="U15" s="209"/>
      <c r="V15" s="209"/>
      <c r="W15" s="209"/>
      <c r="X15" s="210"/>
    </row>
    <row r="16" spans="1:24" x14ac:dyDescent="0.45">
      <c r="A16" s="218" t="s">
        <v>165</v>
      </c>
      <c r="B16" s="226"/>
      <c r="X16" s="200"/>
    </row>
    <row r="17" spans="1:24" x14ac:dyDescent="0.45">
      <c r="A17" s="180" t="s">
        <v>194</v>
      </c>
      <c r="B17" s="224"/>
      <c r="C17" s="5">
        <v>6257305.1500000004</v>
      </c>
      <c r="D17" s="5">
        <v>10464523.710000001</v>
      </c>
      <c r="E17" s="5">
        <v>1967151.9</v>
      </c>
      <c r="F17" s="5">
        <f>113916.01</f>
        <v>113916.01</v>
      </c>
      <c r="G17" s="5">
        <f>137560.26</f>
        <v>137560.26</v>
      </c>
      <c r="H17" s="5">
        <f>228618.7</f>
        <v>228618.7</v>
      </c>
      <c r="I17" s="5">
        <f>1204788.19</f>
        <v>1204788.19</v>
      </c>
      <c r="J17" s="5">
        <f>2815485.73</f>
        <v>2815485.73</v>
      </c>
      <c r="K17" s="5">
        <f>876673.42</f>
        <v>876673.42</v>
      </c>
      <c r="L17" s="5">
        <f>3133026.18</f>
        <v>3133026.18</v>
      </c>
      <c r="M17" s="5">
        <f>3109589.72</f>
        <v>3109589.72</v>
      </c>
      <c r="N17" s="5">
        <f>4478747.14</f>
        <v>4478747.1399999997</v>
      </c>
      <c r="O17" s="5">
        <f>3734416.07</f>
        <v>3734416.07</v>
      </c>
      <c r="P17" s="5">
        <f>1127317.66</f>
        <v>1127317.6599999999</v>
      </c>
      <c r="Q17" s="5">
        <f>_xlfn.FORECAST.ETS(Q$3,C17:P17,C$3:P$3,1,1)</f>
        <v>2041541.8717077756</v>
      </c>
      <c r="R17" s="5">
        <f t="shared" ref="R17:V18" si="6">_xlfn.FORECAST.ETS(R$3,D17:Q17,D$3:Q$3,1,1)</f>
        <v>1876095.964852138</v>
      </c>
      <c r="S17" s="5">
        <f t="shared" si="6"/>
        <v>2873475.9075911846</v>
      </c>
      <c r="T17" s="5">
        <f t="shared" si="6"/>
        <v>3250468.9830191187</v>
      </c>
      <c r="U17" s="5">
        <f t="shared" si="6"/>
        <v>3271868.5352737182</v>
      </c>
      <c r="V17" s="5">
        <f t="shared" si="6"/>
        <v>3320710.8184680226</v>
      </c>
      <c r="X17" s="200"/>
    </row>
    <row r="18" spans="1:24" x14ac:dyDescent="0.45">
      <c r="A18" s="180" t="s">
        <v>204</v>
      </c>
      <c r="B18" s="224">
        <v>229060.5</v>
      </c>
      <c r="C18" s="5">
        <v>10182748</v>
      </c>
      <c r="D18" s="5">
        <v>12181358</v>
      </c>
      <c r="E18" s="5">
        <v>12188638</v>
      </c>
      <c r="F18" s="5">
        <v>40406791.390000001</v>
      </c>
      <c r="G18" s="5">
        <v>42456478.890000001</v>
      </c>
      <c r="H18" s="5">
        <v>36088891.390000001</v>
      </c>
      <c r="I18" s="5">
        <v>36127991.390000001</v>
      </c>
      <c r="J18" s="5">
        <v>24542541.390000001</v>
      </c>
      <c r="K18" s="5">
        <v>24651491.489999998</v>
      </c>
      <c r="L18" s="5">
        <v>26201291.390000001</v>
      </c>
      <c r="M18" s="5">
        <v>26252291.390000001</v>
      </c>
      <c r="N18" s="5">
        <v>26276791.390000001</v>
      </c>
      <c r="O18" s="5">
        <v>26872866.390000001</v>
      </c>
      <c r="P18" s="5">
        <v>34944091.390000001</v>
      </c>
      <c r="Q18" s="5">
        <f>_xlfn.FORECAST.ETS(Q$3,C18:P18,C$3:P$3,1,1)</f>
        <v>35083940.74183654</v>
      </c>
      <c r="R18" s="5">
        <f t="shared" si="6"/>
        <v>35579997.262484953</v>
      </c>
      <c r="S18" s="5">
        <f t="shared" si="6"/>
        <v>35719814.309362181</v>
      </c>
      <c r="T18" s="5">
        <f t="shared" si="6"/>
        <v>37503898.639681086</v>
      </c>
      <c r="U18" s="5">
        <f t="shared" si="6"/>
        <v>37622396.841162533</v>
      </c>
      <c r="V18" s="5">
        <f t="shared" si="6"/>
        <v>38276337.088728905</v>
      </c>
      <c r="X18" s="200"/>
    </row>
    <row r="19" spans="1:24" x14ac:dyDescent="0.45">
      <c r="A19" s="180" t="s">
        <v>203</v>
      </c>
      <c r="B19" s="224">
        <v>2044427.62</v>
      </c>
      <c r="C19" s="5">
        <f>1818624.65</f>
        <v>1818624.65</v>
      </c>
      <c r="D19" s="5">
        <f>1547508.49</f>
        <v>1547508.49</v>
      </c>
      <c r="E19" s="5">
        <f>2091943.86</f>
        <v>2091943.86</v>
      </c>
      <c r="F19" s="5">
        <f>2516667.91</f>
        <v>2516667.91</v>
      </c>
      <c r="G19" s="5">
        <f>5963581.27</f>
        <v>5963581.2699999996</v>
      </c>
      <c r="H19" s="5">
        <f>11067698.96</f>
        <v>11067698.960000001</v>
      </c>
      <c r="I19" s="5">
        <f>6330117.36</f>
        <v>6330117.3600000003</v>
      </c>
      <c r="J19" s="5">
        <f>4027470.78</f>
        <v>4027470.78</v>
      </c>
      <c r="K19" s="5">
        <f>6016963.21</f>
        <v>6016963.21</v>
      </c>
      <c r="L19" s="5">
        <f>4283293.26</f>
        <v>4283293.26</v>
      </c>
      <c r="M19" s="5">
        <f>6039909.62</f>
        <v>6039909.6200000001</v>
      </c>
      <c r="N19" s="5">
        <f>6914375.19</f>
        <v>6914375.1900000004</v>
      </c>
      <c r="O19" s="5">
        <f>6390627.63</f>
        <v>6390627.6299999999</v>
      </c>
      <c r="P19" s="5">
        <f>12765552.16</f>
        <v>12765552.16</v>
      </c>
      <c r="Q19" s="5">
        <f>_xlfn.FORECAST.ETS(Q$3,C19:P19,C$3:P$3,1,1)</f>
        <v>47800680.390757747</v>
      </c>
      <c r="R19" s="5">
        <f>_xlfn.FORECAST.ETS(R$3,D19:Q19,D$3:Q$3,1,1)</f>
        <v>48913494.191845126</v>
      </c>
      <c r="S19" s="5">
        <f>_xlfn.FORECAST.ETS(S$3,E19:R19,E$3:R$3,1,1)</f>
        <v>50824377.572771229</v>
      </c>
      <c r="T19" s="5">
        <f>_xlfn.FORECAST.ETS(T$3,F19:S19,F$3:S$3,1,1)</f>
        <v>42168804.151579075</v>
      </c>
      <c r="U19" s="5">
        <f>_xlfn.FORECAST.ETS(U$3,G19:T19,G$3:T$3,1,1)</f>
        <v>47516212.827044904</v>
      </c>
      <c r="V19" s="5">
        <f>_xlfn.FORECAST.ETS(V$3,H19:U19,H$3:U$3,1,1)</f>
        <v>51531035.307705544</v>
      </c>
      <c r="X19" s="200"/>
    </row>
    <row r="20" spans="1:24" x14ac:dyDescent="0.45">
      <c r="A20" s="180" t="s">
        <v>192</v>
      </c>
      <c r="B20" s="224"/>
      <c r="C20" s="5">
        <f>0</f>
        <v>0</v>
      </c>
      <c r="D20" s="5">
        <v>0</v>
      </c>
      <c r="E20" s="5">
        <f>0</f>
        <v>0</v>
      </c>
      <c r="F20" s="5">
        <v>0</v>
      </c>
      <c r="G20" s="5">
        <v>0</v>
      </c>
      <c r="H20" s="5">
        <f>0</f>
        <v>0</v>
      </c>
      <c r="I20" s="5">
        <f>0</f>
        <v>0</v>
      </c>
      <c r="J20" s="5">
        <f>0</f>
        <v>0</v>
      </c>
      <c r="K20" s="5">
        <f>0</f>
        <v>0</v>
      </c>
      <c r="L20" s="5">
        <f>0</f>
        <v>0</v>
      </c>
      <c r="M20" s="5">
        <f>0</f>
        <v>0</v>
      </c>
      <c r="N20" s="5">
        <f>0</f>
        <v>0</v>
      </c>
      <c r="O20" s="5">
        <f>0</f>
        <v>0</v>
      </c>
      <c r="P20" s="5">
        <f>0</f>
        <v>0</v>
      </c>
      <c r="Q20" s="5">
        <v>0</v>
      </c>
      <c r="R20" s="5">
        <v>0</v>
      </c>
      <c r="S20" s="5">
        <v>0</v>
      </c>
      <c r="T20" s="5">
        <v>0</v>
      </c>
      <c r="U20" s="5">
        <v>0</v>
      </c>
      <c r="V20" s="5">
        <v>0</v>
      </c>
      <c r="X20" s="200"/>
    </row>
    <row r="21" spans="1:24" x14ac:dyDescent="0.45">
      <c r="A21" s="180" t="s">
        <v>193</v>
      </c>
      <c r="B21" s="224">
        <v>59947338.539999999</v>
      </c>
      <c r="C21" s="5">
        <v>62029453.159999996</v>
      </c>
      <c r="D21" s="5">
        <v>60670060.899999999</v>
      </c>
      <c r="E21" s="5">
        <f>58527856.3</f>
        <v>58527856.299999997</v>
      </c>
      <c r="F21" s="5">
        <f>56556599.73</f>
        <v>56556599.729999997</v>
      </c>
      <c r="G21" s="5">
        <f>37214209.91</f>
        <v>37214209.909999996</v>
      </c>
      <c r="H21" s="5">
        <f>35632067.8</f>
        <v>35632067.799999997</v>
      </c>
      <c r="I21" s="5">
        <f>38134591.88</f>
        <v>38134591.880000003</v>
      </c>
      <c r="J21" s="5">
        <f>36860578.49</f>
        <v>36860578.490000002</v>
      </c>
      <c r="K21" s="5">
        <f>37000748.08</f>
        <v>37000748.079999998</v>
      </c>
      <c r="L21" s="5">
        <f>36639264.03</f>
        <v>36639264.030000001</v>
      </c>
      <c r="M21" s="5">
        <f>38975348.31</f>
        <v>38975348.310000002</v>
      </c>
      <c r="N21" s="5">
        <f>41403665.54</f>
        <v>41403665.539999999</v>
      </c>
      <c r="O21" s="5">
        <f>41142111.06</f>
        <v>41142111.060000002</v>
      </c>
      <c r="P21" s="5">
        <f>57242947.67</f>
        <v>57242947.670000002</v>
      </c>
      <c r="Q21" s="5">
        <f>_xlfn.FORECAST.ETS(Q$3,C21:P21,C$3:P$3,1,1)</f>
        <v>58206387.199682504</v>
      </c>
      <c r="R21" s="5">
        <f>'Capital Requirements'!R14-'Capital Requirements'!AM14</f>
        <v>35621209</v>
      </c>
      <c r="S21" s="5">
        <f>'Capital Requirements'!S14-'Capital Requirements'!AN14</f>
        <v>56642014</v>
      </c>
      <c r="T21" s="5">
        <f t="shared" ref="T21:V22" si="7">_xlfn.FORECAST.ETS(T$3,F21:S21,F$3:S$3,1,1)</f>
        <v>57427656.286015704</v>
      </c>
      <c r="U21" s="5">
        <f t="shared" si="7"/>
        <v>56254244.450278185</v>
      </c>
      <c r="V21" s="5">
        <f t="shared" si="7"/>
        <v>58525925.238863252</v>
      </c>
      <c r="X21" s="200"/>
    </row>
    <row r="22" spans="1:24" ht="28.5" x14ac:dyDescent="0.45">
      <c r="A22" s="180" t="s">
        <v>195</v>
      </c>
      <c r="B22" s="224"/>
      <c r="C22" s="5">
        <f>3823655.34+2712704.5+0+0</f>
        <v>6536359.8399999999</v>
      </c>
      <c r="D22" s="5">
        <f>2877287.3+2709606.5+0+0</f>
        <v>5586893.7999999998</v>
      </c>
      <c r="E22" s="5">
        <f>1872534.35+2701488+19084424.19+0</f>
        <v>23658446.539999999</v>
      </c>
      <c r="F22" s="5">
        <f>4090051.21+2700000+0+0</f>
        <v>6790051.21</v>
      </c>
      <c r="G22" s="5">
        <f>8169387.18+19085840.17+8004403.33+0</f>
        <v>35259630.68</v>
      </c>
      <c r="H22" s="5">
        <f>24780454.08+17281894.46-3.73+0</f>
        <v>42062344.810000002</v>
      </c>
      <c r="I22" s="5">
        <f>17483988.05+15477948.75+14030811.07+0</f>
        <v>46992747.870000005</v>
      </c>
      <c r="J22" s="5">
        <f>11881236.72+13716135.04+32335079.81+0</f>
        <v>57932451.569999993</v>
      </c>
      <c r="K22" s="5">
        <f>7304958.72+11937468.53+38761959.32+0</f>
        <v>58004386.57</v>
      </c>
      <c r="L22" s="5">
        <f>3009907.3+10453842.82+49560870.71+0</f>
        <v>63024620.829999998</v>
      </c>
      <c r="M22" s="5">
        <f>3390437.54+8661132.31+46750060.36+0</f>
        <v>58801630.210000001</v>
      </c>
      <c r="N22" s="5">
        <f>6158721.34+6840333.8+46508545.82+0</f>
        <v>59507600.960000001</v>
      </c>
      <c r="O22" s="5">
        <f>8592311.51+5019535.29+61075137.1+0</f>
        <v>74686983.900000006</v>
      </c>
      <c r="P22" s="5">
        <f>9960771.41+3198736.78+38897191.8+0</f>
        <v>52056699.989999995</v>
      </c>
      <c r="Q22" s="5">
        <f>_xlfn.FORECAST.ETS(Q$3,C22:P22,C$3:P$3,1,1)</f>
        <v>78018657.042894557</v>
      </c>
      <c r="R22" s="5">
        <f>_xlfn.FORECAST.ETS(R$3,D22:Q22,D$3:Q$3,1,1)</f>
        <v>82780560.069614589</v>
      </c>
      <c r="S22" s="5">
        <f>_xlfn.FORECAST.ETS(S$3,E22:R22,E$3:R$3,1,1)</f>
        <v>85332266.587306604</v>
      </c>
      <c r="T22" s="5">
        <f t="shared" si="7"/>
        <v>89884451.540258259</v>
      </c>
      <c r="U22" s="5">
        <f t="shared" si="7"/>
        <v>90990368.631584674</v>
      </c>
      <c r="V22" s="5">
        <f t="shared" si="7"/>
        <v>91516300.437785044</v>
      </c>
      <c r="X22" s="200"/>
    </row>
    <row r="23" spans="1:24" ht="14.65" thickBot="1" x14ac:dyDescent="0.5">
      <c r="A23" s="180" t="s">
        <v>166</v>
      </c>
      <c r="B23" s="224"/>
      <c r="C23" s="219">
        <f t="shared" ref="C23:V23" si="8">SUM(C17:C22)</f>
        <v>86824490.799999997</v>
      </c>
      <c r="D23" s="219">
        <f t="shared" si="8"/>
        <v>90450344.899999991</v>
      </c>
      <c r="E23" s="219">
        <f t="shared" si="8"/>
        <v>98434036.599999994</v>
      </c>
      <c r="F23" s="219">
        <f t="shared" si="8"/>
        <v>106384026.24999999</v>
      </c>
      <c r="G23" s="219">
        <f t="shared" si="8"/>
        <v>121031461.00999999</v>
      </c>
      <c r="H23" s="219">
        <f t="shared" si="8"/>
        <v>125079621.66</v>
      </c>
      <c r="I23" s="219">
        <f t="shared" si="8"/>
        <v>128790236.69</v>
      </c>
      <c r="J23" s="219">
        <f t="shared" si="8"/>
        <v>126178527.95999999</v>
      </c>
      <c r="K23" s="219">
        <f t="shared" si="8"/>
        <v>126550262.77000001</v>
      </c>
      <c r="L23" s="219">
        <f t="shared" si="8"/>
        <v>133281495.69</v>
      </c>
      <c r="M23" s="219">
        <f t="shared" si="8"/>
        <v>133178769.25</v>
      </c>
      <c r="N23" s="219">
        <f t="shared" si="8"/>
        <v>138581180.22</v>
      </c>
      <c r="O23" s="219">
        <f t="shared" si="8"/>
        <v>152827005.05000001</v>
      </c>
      <c r="P23" s="219">
        <f t="shared" si="8"/>
        <v>158136608.87</v>
      </c>
      <c r="Q23" s="219">
        <f t="shared" si="8"/>
        <v>221151207.2468791</v>
      </c>
      <c r="R23" s="219">
        <f t="shared" si="8"/>
        <v>204771356.4887968</v>
      </c>
      <c r="S23" s="219">
        <f t="shared" si="8"/>
        <v>231391948.37703121</v>
      </c>
      <c r="T23" s="219">
        <f t="shared" si="8"/>
        <v>230235279.60055324</v>
      </c>
      <c r="U23" s="219">
        <f t="shared" si="8"/>
        <v>235655091.285344</v>
      </c>
      <c r="V23" s="219">
        <f t="shared" si="8"/>
        <v>243170308.89155078</v>
      </c>
      <c r="X23" s="200"/>
    </row>
    <row r="24" spans="1:24" ht="14.65" thickTop="1" x14ac:dyDescent="0.45">
      <c r="A24" s="180"/>
      <c r="B24" s="224"/>
      <c r="X24" s="200"/>
    </row>
    <row r="25" spans="1:24" s="5" customFormat="1" x14ac:dyDescent="0.45">
      <c r="A25" s="180" t="s">
        <v>196</v>
      </c>
      <c r="B25" s="224">
        <v>12440730.869999999</v>
      </c>
      <c r="C25" s="5">
        <v>10376057.199999999</v>
      </c>
      <c r="D25" s="5">
        <f>6547415.61</f>
        <v>6547415.6100000003</v>
      </c>
      <c r="E25" s="5">
        <v>7304453.9000000004</v>
      </c>
      <c r="F25" s="5">
        <v>8632712.9600000009</v>
      </c>
      <c r="G25" s="5">
        <v>10613442.52</v>
      </c>
      <c r="H25" s="5">
        <v>9050194.1099999994</v>
      </c>
      <c r="I25" s="5">
        <v>12384530.83</v>
      </c>
      <c r="J25" s="5">
        <v>6342314.1399999997</v>
      </c>
      <c r="K25" s="5">
        <v>7315392.8499999996</v>
      </c>
      <c r="L25" s="5">
        <v>10557080.49</v>
      </c>
      <c r="M25" s="5">
        <v>8021307.9400000004</v>
      </c>
      <c r="N25" s="5">
        <v>9505344.7899999991</v>
      </c>
      <c r="O25" s="5">
        <f>13031737.39</f>
        <v>13031737.390000001</v>
      </c>
      <c r="P25" s="5">
        <v>17815394.359999999</v>
      </c>
      <c r="Q25" s="5">
        <f t="shared" ref="Q25:V27" si="9">ABS(_xlfn.FORECAST.ETS(Q$3,C25:P25,C$3:P$3,1,1))</f>
        <v>13402902.200173145</v>
      </c>
      <c r="R25" s="5">
        <f t="shared" si="9"/>
        <v>13560861.722653663</v>
      </c>
      <c r="S25" s="5">
        <f>ABS(_xlfn.FORECAST.ETS(S$3,E25:R25,E$3:R$3,1,1))-0.86*S34</f>
        <v>39891170.110430919</v>
      </c>
      <c r="T25" s="5">
        <f t="shared" si="9"/>
        <v>24152907.478050727</v>
      </c>
      <c r="U25" s="5">
        <f t="shared" si="9"/>
        <v>25552210.533027653</v>
      </c>
      <c r="V25" s="5">
        <f t="shared" si="9"/>
        <v>27337563.68976878</v>
      </c>
      <c r="X25" s="111"/>
    </row>
    <row r="26" spans="1:24" s="5" customFormat="1" x14ac:dyDescent="0.45">
      <c r="A26" s="180" t="s">
        <v>197</v>
      </c>
      <c r="B26" s="224">
        <v>189562.58</v>
      </c>
      <c r="C26" s="5">
        <f>163062.58</f>
        <v>163062.57999999999</v>
      </c>
      <c r="D26" s="5">
        <f>128340.8</f>
        <v>128340.8</v>
      </c>
      <c r="E26" s="5">
        <f t="shared" ref="E26:L26" si="10">49575.8</f>
        <v>49575.8</v>
      </c>
      <c r="F26" s="5">
        <f t="shared" si="10"/>
        <v>49575.8</v>
      </c>
      <c r="G26" s="5">
        <f t="shared" si="10"/>
        <v>49575.8</v>
      </c>
      <c r="H26" s="5">
        <f t="shared" si="10"/>
        <v>49575.8</v>
      </c>
      <c r="I26" s="5">
        <f t="shared" si="10"/>
        <v>49575.8</v>
      </c>
      <c r="J26" s="5">
        <f t="shared" si="10"/>
        <v>49575.8</v>
      </c>
      <c r="K26" s="5">
        <f t="shared" si="10"/>
        <v>49575.8</v>
      </c>
      <c r="L26" s="5">
        <f t="shared" si="10"/>
        <v>49575.8</v>
      </c>
      <c r="M26" s="5">
        <v>0</v>
      </c>
      <c r="N26" s="5">
        <v>0</v>
      </c>
      <c r="O26" s="5">
        <v>0</v>
      </c>
      <c r="P26" s="5">
        <v>0</v>
      </c>
      <c r="Q26" s="5">
        <f t="shared" si="9"/>
        <v>16353.753917757133</v>
      </c>
      <c r="R26" s="5">
        <f t="shared" si="9"/>
        <v>5471.5430581213559</v>
      </c>
      <c r="S26" s="5">
        <f t="shared" si="9"/>
        <v>1716.2425298805651</v>
      </c>
      <c r="T26" s="5">
        <f t="shared" si="9"/>
        <v>10560.423432261865</v>
      </c>
      <c r="U26" s="5">
        <f t="shared" si="9"/>
        <v>13350.558298112039</v>
      </c>
      <c r="V26" s="5">
        <f t="shared" si="9"/>
        <v>6339.5432374569473</v>
      </c>
      <c r="X26" s="111"/>
    </row>
    <row r="27" spans="1:24" s="5" customFormat="1" x14ac:dyDescent="0.45">
      <c r="A27" s="180" t="s">
        <v>205</v>
      </c>
      <c r="B27" s="224">
        <v>0</v>
      </c>
      <c r="C27" s="5">
        <v>82675.399999999994</v>
      </c>
      <c r="D27" s="5">
        <v>64860.53</v>
      </c>
      <c r="E27" s="5">
        <v>64860.53</v>
      </c>
      <c r="F27" s="5">
        <v>64860.53</v>
      </c>
      <c r="G27" s="5">
        <v>64860.53</v>
      </c>
      <c r="H27" s="5">
        <v>64860.53</v>
      </c>
      <c r="I27" s="5">
        <v>64860.53</v>
      </c>
      <c r="J27" s="5">
        <v>64860.53</v>
      </c>
      <c r="K27" s="5">
        <v>64860.53</v>
      </c>
      <c r="L27" s="5">
        <v>64860.53</v>
      </c>
      <c r="M27" s="5">
        <v>64860.53</v>
      </c>
      <c r="N27" s="5">
        <v>0</v>
      </c>
      <c r="O27" s="5">
        <v>0</v>
      </c>
      <c r="P27" s="5">
        <v>0</v>
      </c>
      <c r="Q27" s="5">
        <f t="shared" si="9"/>
        <v>11855.506469705684</v>
      </c>
      <c r="R27" s="5">
        <f t="shared" si="9"/>
        <v>3920.4780350562555</v>
      </c>
      <c r="S27" s="5">
        <f t="shared" si="9"/>
        <v>4970.0987008221418</v>
      </c>
      <c r="T27" s="5">
        <f t="shared" si="9"/>
        <v>6727.2821629619066</v>
      </c>
      <c r="U27" s="5">
        <f t="shared" si="9"/>
        <v>14758.993354660328</v>
      </c>
      <c r="V27" s="5">
        <f t="shared" si="9"/>
        <v>18101.63668302157</v>
      </c>
      <c r="X27" s="111"/>
    </row>
    <row r="28" spans="1:24" s="5" customFormat="1" x14ac:dyDescent="0.45">
      <c r="A28" s="180" t="s">
        <v>198</v>
      </c>
      <c r="B28" s="224">
        <v>5846910.75</v>
      </c>
      <c r="C28" s="5">
        <v>5996140.75</v>
      </c>
      <c r="D28" s="5">
        <v>6166047.9400000004</v>
      </c>
      <c r="E28" s="5">
        <v>5898712.8399999999</v>
      </c>
      <c r="F28" s="5">
        <v>6255134.8399999999</v>
      </c>
      <c r="G28" s="5">
        <v>6378746.8399999999</v>
      </c>
      <c r="H28" s="5">
        <v>6606251.3399999999</v>
      </c>
      <c r="I28" s="5">
        <v>6608716.3399999999</v>
      </c>
      <c r="J28" s="5">
        <v>6864264.3399999999</v>
      </c>
      <c r="K28" s="5">
        <v>6908256.3399999999</v>
      </c>
      <c r="L28" s="5">
        <v>6975944.3399999999</v>
      </c>
      <c r="M28" s="5">
        <v>6977929.3399999999</v>
      </c>
      <c r="N28" s="5">
        <v>7119411.3399999999</v>
      </c>
      <c r="O28" s="5">
        <v>6912646.3399999999</v>
      </c>
      <c r="P28" s="5">
        <v>7111146.3399999999</v>
      </c>
      <c r="Q28" s="5">
        <f t="shared" ref="Q28" si="11">ABS(_xlfn.FORECAST.ETS(Q$3,C28:P28,C$3:P$3,1,1))-0.14*Q34</f>
        <v>15717271.429098655</v>
      </c>
      <c r="R28" s="5">
        <f>ABS(_xlfn.FORECAST.ETS(R$3,D28:Q28,D$3:Q$3,1,1))-0.14*R34</f>
        <v>14259845.172396921</v>
      </c>
      <c r="S28" s="5">
        <f>ABS(_xlfn.FORECAST.ETS(S$3,E28:R28,E$3:R$3,1,1))-0.14*S34</f>
        <v>16519651.737069566</v>
      </c>
      <c r="T28" s="5">
        <f>ABS(_xlfn.FORECAST.ETS(T$3,F28:S28,F$3:S$3,1,1))-0.14*T34</f>
        <v>16459718.419256408</v>
      </c>
      <c r="U28" s="5">
        <f>ABS(_xlfn.FORECAST.ETS(U$3,G28:T28,G$3:T$3,1,1))-0.14*U34</f>
        <v>15601347.810098769</v>
      </c>
      <c r="V28" s="5">
        <f>ABS(_xlfn.FORECAST.ETS(V$3,H28:U28,H$3:U$3,1,1))-0.14*V34</f>
        <v>16866257.880708821</v>
      </c>
      <c r="X28" s="111"/>
    </row>
    <row r="29" spans="1:24" s="5" customFormat="1" x14ac:dyDescent="0.45">
      <c r="A29" s="180" t="s">
        <v>200</v>
      </c>
      <c r="B29" s="224"/>
      <c r="C29" s="5">
        <f>70206554.87-C30</f>
        <v>61632523.820000008</v>
      </c>
      <c r="D29" s="5">
        <f>77543680.02-D30</f>
        <v>68563473.219999999</v>
      </c>
      <c r="E29" s="5">
        <f>85116433.53-E30</f>
        <v>75879233.590000004</v>
      </c>
      <c r="F29" s="5">
        <v>75558101.63000001</v>
      </c>
      <c r="G29" s="5">
        <v>80742831.629999995</v>
      </c>
      <c r="H29" s="5">
        <v>80795543.879999995</v>
      </c>
      <c r="I29" s="5">
        <v>83070261.560000002</v>
      </c>
      <c r="J29" s="5">
        <v>84754050.920000002</v>
      </c>
      <c r="K29" s="5">
        <f>83130416.09+0.35</f>
        <v>83130416.439999998</v>
      </c>
      <c r="L29" s="5">
        <f>115142606.19+491428.34-28440623.9</f>
        <v>87193410.629999995</v>
      </c>
      <c r="M29" s="5">
        <f>117726068+388602.82-M30+0.62</f>
        <v>89100051.310000002</v>
      </c>
      <c r="N29" s="5">
        <f>90358341.54-0.01</f>
        <v>90358341.530000001</v>
      </c>
      <c r="O29" s="5">
        <f>98037560.57+0.02</f>
        <v>98037560.589999989</v>
      </c>
      <c r="P29" s="5">
        <f>133078529.15+131539.02-P30</f>
        <v>88207984.689999998</v>
      </c>
      <c r="Q29" s="5">
        <f t="shared" ref="Q29" si="12">ABS(_xlfn.FORECAST.ETS(Q$3,C29:P29,C$3:P$3,1,1))-0.86*Q34</f>
        <v>142991944.56815517</v>
      </c>
      <c r="R29" s="5">
        <f>ABS(_xlfn.FORECAST.ETS(R$3,D29:Q29,D$3:Q$3,1,1))-0.86*R34</f>
        <v>125572047.38549595</v>
      </c>
      <c r="S29" s="5">
        <f>ABS(_xlfn.FORECAST.ETS(S$3,E29:R29,E$3:R$3,1,1))</f>
        <v>122045126.27667226</v>
      </c>
      <c r="T29" s="5">
        <f>ABS(_xlfn.FORECAST.ETS(T$3,F29:S29,F$3:S$3,1,1))-0.86*T34</f>
        <v>137454138.89481038</v>
      </c>
      <c r="U29" s="5">
        <f>ABS(_xlfn.FORECAST.ETS(U$3,G29:T29,G$3:T$3,1,1))-0.86*U34</f>
        <v>139792483.82457548</v>
      </c>
      <c r="V29" s="5">
        <f>ABS(_xlfn.FORECAST.ETS(V$3,H29:U29,H$3:U$3,1,1))-0.86*V34</f>
        <v>141630426.40715632</v>
      </c>
      <c r="X29" s="111"/>
    </row>
    <row r="30" spans="1:24" s="5" customFormat="1" x14ac:dyDescent="0.45">
      <c r="A30" s="180" t="s">
        <v>199</v>
      </c>
      <c r="B30" s="224"/>
      <c r="C30" s="5">
        <v>8574031.0500000007</v>
      </c>
      <c r="D30" s="5">
        <v>8980206.8000000007</v>
      </c>
      <c r="E30" s="5">
        <v>9237199.9399999995</v>
      </c>
      <c r="F30" s="5">
        <v>15823640.49</v>
      </c>
      <c r="G30" s="5">
        <v>22191774.600000001</v>
      </c>
      <c r="H30" s="5">
        <v>26498664.23</v>
      </c>
      <c r="I30" s="5">
        <v>26612291.629999999</v>
      </c>
      <c r="J30" s="5">
        <v>28103462.23</v>
      </c>
      <c r="K30" s="5">
        <v>29032447.710000001</v>
      </c>
      <c r="L30" s="5">
        <v>28440623.899999999</v>
      </c>
      <c r="M30" s="5">
        <v>29014620.129999999</v>
      </c>
      <c r="N30" s="5">
        <v>31598082.559999999</v>
      </c>
      <c r="O30" s="5">
        <v>34845060.729999997</v>
      </c>
      <c r="P30" s="5">
        <v>45002083.479999997</v>
      </c>
      <c r="Q30" s="5">
        <f>ABS(_xlfn.FORECAST.ETS(Q$3,C30:P30,C$3:P$3,1,1))</f>
        <v>49010879.789064668</v>
      </c>
      <c r="R30" s="5">
        <f t="shared" ref="R30:V31" si="13">ABS(_xlfn.FORECAST.ETS(R$3,D30:Q30,D$3:Q$3,1,1))</f>
        <v>51369210.187157109</v>
      </c>
      <c r="S30" s="5">
        <f t="shared" si="13"/>
        <v>52929313.911627762</v>
      </c>
      <c r="T30" s="5">
        <f t="shared" si="13"/>
        <v>52151227.102840513</v>
      </c>
      <c r="U30" s="5">
        <f t="shared" si="13"/>
        <v>54680939.565989301</v>
      </c>
      <c r="V30" s="5">
        <f t="shared" si="13"/>
        <v>57311619.733996347</v>
      </c>
      <c r="X30" s="111"/>
    </row>
    <row r="31" spans="1:24" s="5" customFormat="1" x14ac:dyDescent="0.45">
      <c r="A31" s="180" t="s">
        <v>201</v>
      </c>
      <c r="B31" s="224"/>
      <c r="C31" s="5">
        <v>0</v>
      </c>
      <c r="D31" s="5">
        <v>0</v>
      </c>
      <c r="E31" s="5">
        <v>0</v>
      </c>
      <c r="F31" s="5">
        <v>0</v>
      </c>
      <c r="G31" s="5">
        <v>990229.09</v>
      </c>
      <c r="H31" s="5">
        <v>2014531.77</v>
      </c>
      <c r="I31" s="5">
        <v>0</v>
      </c>
      <c r="K31" s="5">
        <v>49313.1</v>
      </c>
      <c r="L31" s="5">
        <v>0</v>
      </c>
      <c r="M31" s="5">
        <v>0</v>
      </c>
      <c r="P31" s="5">
        <v>0</v>
      </c>
      <c r="Q31" s="5">
        <f>ABS(_xlfn.FORECAST.ETS(Q$3,C31:P31,C$3:P$3,1,1))</f>
        <v>17661.924152535958</v>
      </c>
      <c r="R31" s="5">
        <f>ABS(_xlfn.FORECAST.ETS(R$3,D31:Q31,D$3:Q$3,1,1))</f>
        <v>79018.399466360221</v>
      </c>
      <c r="S31" s="5">
        <f t="shared" si="13"/>
        <v>117650.29081103686</v>
      </c>
      <c r="T31" s="5">
        <f t="shared" si="13"/>
        <v>144850.08596450987</v>
      </c>
      <c r="U31" s="5">
        <f t="shared" si="13"/>
        <v>212204.77085581029</v>
      </c>
      <c r="V31" s="5">
        <f t="shared" si="13"/>
        <v>153096.52691469164</v>
      </c>
      <c r="X31" s="111"/>
    </row>
    <row r="32" spans="1:24" s="5" customFormat="1" ht="14.65" thickBot="1" x14ac:dyDescent="0.5">
      <c r="A32" s="180" t="s">
        <v>167</v>
      </c>
      <c r="B32" s="224"/>
      <c r="C32" s="219">
        <f>SUM(C25:C31)</f>
        <v>86824490.799999997</v>
      </c>
      <c r="D32" s="219">
        <f>SUM(D25:D30)</f>
        <v>90450344.899999991</v>
      </c>
      <c r="E32" s="219">
        <f>SUM(E25:E31)</f>
        <v>98434036.599999994</v>
      </c>
      <c r="F32" s="219">
        <f>SUM(F25:F31)</f>
        <v>106384026.25</v>
      </c>
      <c r="G32" s="219">
        <f>SUM(G25:G31)</f>
        <v>121031461.00999999</v>
      </c>
      <c r="H32" s="219">
        <f>SUM(H25:H31)</f>
        <v>125079621.66</v>
      </c>
      <c r="I32" s="219">
        <f>SUM(I25:I31)</f>
        <v>128790236.69</v>
      </c>
      <c r="J32" s="219">
        <f>SUM(J25:J30)</f>
        <v>126178527.96000001</v>
      </c>
      <c r="K32" s="219">
        <f>SUM(K25:K31)</f>
        <v>126550262.76999998</v>
      </c>
      <c r="L32" s="219">
        <f>SUM(L25:L31)</f>
        <v>133281495.69</v>
      </c>
      <c r="M32" s="219">
        <f>SUM(M25:M31)</f>
        <v>133178769.25</v>
      </c>
      <c r="N32" s="219">
        <f>SUM(N25:N30)</f>
        <v>138581180.22</v>
      </c>
      <c r="O32" s="219">
        <f>SUM(O25:O30)</f>
        <v>152827005.04999998</v>
      </c>
      <c r="P32" s="219">
        <f>SUM(P25:P31)</f>
        <v>158136608.87</v>
      </c>
      <c r="Q32" s="219">
        <f t="shared" ref="Q32:V32" si="14">SUM(Q25:Q30)</f>
        <v>221151207.2468791</v>
      </c>
      <c r="R32" s="219">
        <f t="shared" si="14"/>
        <v>204771356.48879683</v>
      </c>
      <c r="S32" s="219">
        <f t="shared" si="14"/>
        <v>231391948.37703121</v>
      </c>
      <c r="T32" s="219">
        <f t="shared" si="14"/>
        <v>230235279.60055324</v>
      </c>
      <c r="U32" s="219">
        <f t="shared" si="14"/>
        <v>235655091.285344</v>
      </c>
      <c r="V32" s="219">
        <f t="shared" si="14"/>
        <v>243170308.89155072</v>
      </c>
      <c r="X32" s="111"/>
    </row>
    <row r="33" spans="1:24" s="5" customFormat="1" ht="14.65" thickTop="1" x14ac:dyDescent="0.45">
      <c r="A33" s="180" t="s">
        <v>168</v>
      </c>
      <c r="B33" s="224"/>
      <c r="C33" s="5">
        <f t="shared" ref="C33:V33" si="15">C32-C23</f>
        <v>0</v>
      </c>
      <c r="D33" s="5">
        <f t="shared" si="15"/>
        <v>0</v>
      </c>
      <c r="E33" s="5">
        <f t="shared" si="15"/>
        <v>0</v>
      </c>
      <c r="F33" s="5">
        <f t="shared" si="15"/>
        <v>0</v>
      </c>
      <c r="G33" s="5">
        <f t="shared" si="15"/>
        <v>0</v>
      </c>
      <c r="H33" s="5">
        <f t="shared" si="15"/>
        <v>0</v>
      </c>
      <c r="I33" s="5">
        <f t="shared" si="15"/>
        <v>0</v>
      </c>
      <c r="J33" s="5">
        <f t="shared" si="15"/>
        <v>0</v>
      </c>
      <c r="K33" s="5">
        <f t="shared" si="15"/>
        <v>0</v>
      </c>
      <c r="L33" s="5">
        <f t="shared" si="15"/>
        <v>0</v>
      </c>
      <c r="M33" s="5">
        <f t="shared" si="15"/>
        <v>0</v>
      </c>
      <c r="N33" s="5">
        <f t="shared" si="15"/>
        <v>0</v>
      </c>
      <c r="O33" s="5">
        <f t="shared" si="15"/>
        <v>0</v>
      </c>
      <c r="P33" s="5">
        <f t="shared" si="15"/>
        <v>0</v>
      </c>
      <c r="Q33" s="5">
        <f t="shared" si="15"/>
        <v>0</v>
      </c>
      <c r="R33" s="5">
        <f t="shared" si="15"/>
        <v>0</v>
      </c>
      <c r="S33" s="5">
        <f t="shared" si="15"/>
        <v>0</v>
      </c>
      <c r="T33" s="5">
        <f t="shared" si="15"/>
        <v>0</v>
      </c>
      <c r="U33" s="5">
        <f t="shared" si="15"/>
        <v>0</v>
      </c>
      <c r="V33" s="5">
        <f t="shared" si="15"/>
        <v>0</v>
      </c>
      <c r="X33" s="111"/>
    </row>
    <row r="34" spans="1:24" ht="21" hidden="1" customHeight="1" x14ac:dyDescent="0.45">
      <c r="A34" s="180" t="s">
        <v>202</v>
      </c>
      <c r="B34" s="224"/>
      <c r="C34" s="5">
        <f t="shared" ref="C34:P34" si="16">C32-C23</f>
        <v>0</v>
      </c>
      <c r="D34" s="5">
        <f t="shared" si="16"/>
        <v>0</v>
      </c>
      <c r="E34" s="5">
        <f t="shared" si="16"/>
        <v>0</v>
      </c>
      <c r="F34" s="5">
        <f t="shared" si="16"/>
        <v>0</v>
      </c>
      <c r="G34" s="5">
        <f t="shared" si="16"/>
        <v>0</v>
      </c>
      <c r="H34" s="5">
        <f t="shared" si="16"/>
        <v>0</v>
      </c>
      <c r="I34" s="5">
        <f t="shared" si="16"/>
        <v>0</v>
      </c>
      <c r="J34" s="5">
        <f t="shared" si="16"/>
        <v>0</v>
      </c>
      <c r="K34" s="5">
        <f t="shared" si="16"/>
        <v>0</v>
      </c>
      <c r="L34" s="5">
        <f t="shared" si="16"/>
        <v>0</v>
      </c>
      <c r="M34" s="5">
        <f t="shared" si="16"/>
        <v>0</v>
      </c>
      <c r="N34" s="5">
        <f t="shared" si="16"/>
        <v>0</v>
      </c>
      <c r="O34" s="5">
        <f t="shared" si="16"/>
        <v>0</v>
      </c>
      <c r="P34" s="5">
        <f t="shared" si="16"/>
        <v>0</v>
      </c>
      <c r="Q34" s="5">
        <v>-59990609.452425927</v>
      </c>
      <c r="R34" s="5">
        <v>-15836912.383888334</v>
      </c>
      <c r="S34" s="5">
        <v>-29995089.205074847</v>
      </c>
      <c r="T34" s="5">
        <v>-13619860.686864913</v>
      </c>
      <c r="U34" s="5">
        <v>2495285.8857126832</v>
      </c>
      <c r="V34" s="5">
        <v>2042019.6737090349</v>
      </c>
      <c r="X34" s="200"/>
    </row>
    <row r="35" spans="1:24" ht="14.65" thickBot="1" x14ac:dyDescent="0.5">
      <c r="A35" s="196" t="s">
        <v>169</v>
      </c>
      <c r="B35" s="221">
        <f t="shared" ref="B35:V35" si="17">B19+B20-B25-B26-B27</f>
        <v>-10585865.83</v>
      </c>
      <c r="C35" s="221">
        <f t="shared" si="17"/>
        <v>-8803170.5299999993</v>
      </c>
      <c r="D35" s="221">
        <f t="shared" si="17"/>
        <v>-5193108.45</v>
      </c>
      <c r="E35" s="221">
        <f t="shared" si="17"/>
        <v>-5326946.37</v>
      </c>
      <c r="F35" s="221">
        <f t="shared" si="17"/>
        <v>-6230481.3800000008</v>
      </c>
      <c r="G35" s="221">
        <f t="shared" si="17"/>
        <v>-4764297.58</v>
      </c>
      <c r="H35" s="221">
        <f t="shared" si="17"/>
        <v>1903068.5200000014</v>
      </c>
      <c r="I35" s="221">
        <f t="shared" si="17"/>
        <v>-6168849.7999999998</v>
      </c>
      <c r="J35" s="221">
        <f t="shared" si="17"/>
        <v>-2429279.6899999995</v>
      </c>
      <c r="K35" s="221">
        <f t="shared" si="17"/>
        <v>-1412865.9699999997</v>
      </c>
      <c r="L35" s="221">
        <f t="shared" si="17"/>
        <v>-6388223.5600000005</v>
      </c>
      <c r="M35" s="221">
        <f t="shared" si="17"/>
        <v>-2046258.8500000003</v>
      </c>
      <c r="N35" s="221">
        <f t="shared" si="17"/>
        <v>-2590969.5999999987</v>
      </c>
      <c r="O35" s="221">
        <f t="shared" si="17"/>
        <v>-6641109.7600000007</v>
      </c>
      <c r="P35" s="221">
        <f t="shared" si="17"/>
        <v>-5049842.1999999993</v>
      </c>
      <c r="Q35" s="221">
        <f t="shared" si="17"/>
        <v>34369568.930197142</v>
      </c>
      <c r="R35" s="221">
        <f t="shared" si="17"/>
        <v>35343240.448098287</v>
      </c>
      <c r="S35" s="221">
        <f t="shared" si="17"/>
        <v>10926521.121109609</v>
      </c>
      <c r="T35" s="221">
        <f t="shared" si="17"/>
        <v>17998608.967933126</v>
      </c>
      <c r="U35" s="221">
        <f t="shared" si="17"/>
        <v>21935892.742364481</v>
      </c>
      <c r="V35" s="5">
        <f t="shared" si="17"/>
        <v>24169030.438016288</v>
      </c>
      <c r="X35" s="200"/>
    </row>
    <row r="36" spans="1:24" x14ac:dyDescent="0.45">
      <c r="A36" s="208" t="s">
        <v>170</v>
      </c>
      <c r="B36" s="227"/>
      <c r="C36" s="209"/>
      <c r="D36" s="209"/>
      <c r="E36" s="209"/>
      <c r="F36" s="209"/>
      <c r="G36" s="209"/>
      <c r="H36" s="209"/>
      <c r="I36" s="209"/>
      <c r="J36" s="209"/>
      <c r="K36" s="209"/>
      <c r="L36" s="209"/>
      <c r="M36" s="209"/>
      <c r="N36" s="209"/>
      <c r="O36" s="209"/>
      <c r="P36" s="209"/>
      <c r="Q36" s="209"/>
      <c r="R36" s="209"/>
      <c r="S36" s="209"/>
      <c r="T36" s="209"/>
      <c r="U36" s="209"/>
      <c r="V36" s="209"/>
      <c r="W36" s="209"/>
      <c r="X36" s="210"/>
    </row>
    <row r="37" spans="1:24" x14ac:dyDescent="0.45">
      <c r="A37" s="199" t="s">
        <v>171</v>
      </c>
      <c r="B37" s="5"/>
      <c r="C37" s="5">
        <f>C13</f>
        <v>13854079.74</v>
      </c>
      <c r="D37" s="5">
        <f t="shared" ref="D37:V37" si="18">D13</f>
        <v>13195150.67</v>
      </c>
      <c r="E37" s="5">
        <f t="shared" si="18"/>
        <v>13953979.029999999</v>
      </c>
      <c r="F37" s="5">
        <f t="shared" si="18"/>
        <v>13344134.109999999</v>
      </c>
      <c r="G37" s="5">
        <f t="shared" si="18"/>
        <v>18631689.629999999</v>
      </c>
      <c r="H37" s="5">
        <f t="shared" si="18"/>
        <v>11787227.4</v>
      </c>
      <c r="I37" s="5">
        <f t="shared" si="18"/>
        <v>10164770.6</v>
      </c>
      <c r="J37" s="5">
        <f t="shared" si="18"/>
        <v>10951385.48</v>
      </c>
      <c r="K37" s="5">
        <f t="shared" si="18"/>
        <v>7430576.1900000004</v>
      </c>
      <c r="L37" s="5">
        <f t="shared" si="18"/>
        <v>11596396.23</v>
      </c>
      <c r="M37" s="5">
        <f t="shared" si="18"/>
        <v>10605862.43</v>
      </c>
      <c r="N37" s="5">
        <f t="shared" si="18"/>
        <v>11966978.17</v>
      </c>
      <c r="O37" s="5">
        <f t="shared" si="18"/>
        <v>19749022.75</v>
      </c>
      <c r="P37" s="5">
        <f t="shared" si="18"/>
        <v>9970859.6099999994</v>
      </c>
      <c r="Q37" s="5">
        <f t="shared" si="18"/>
        <v>11879286.551428337</v>
      </c>
      <c r="R37" s="5">
        <f t="shared" si="18"/>
        <v>11513859.555103941</v>
      </c>
      <c r="S37" s="5">
        <f t="shared" si="18"/>
        <v>12076808.813662397</v>
      </c>
      <c r="T37" s="5">
        <f t="shared" si="18"/>
        <v>12084223.792661529</v>
      </c>
      <c r="U37" s="5">
        <f t="shared" si="18"/>
        <v>11930549.678819707</v>
      </c>
      <c r="V37" s="5">
        <f t="shared" si="18"/>
        <v>13770846.942583127</v>
      </c>
      <c r="X37" s="200"/>
    </row>
    <row r="38" spans="1:24" x14ac:dyDescent="0.45">
      <c r="A38" s="199" t="s">
        <v>172</v>
      </c>
      <c r="B38" s="5"/>
      <c r="C38" s="5">
        <v>3305360.84</v>
      </c>
      <c r="D38" s="5">
        <v>3626768.8</v>
      </c>
      <c r="E38" s="5">
        <v>3567907.85</v>
      </c>
      <c r="F38" s="5">
        <v>4006497.89</v>
      </c>
      <c r="G38" s="5">
        <v>6232517.2699999996</v>
      </c>
      <c r="H38" s="5">
        <v>10691341.470000001</v>
      </c>
      <c r="I38" s="5">
        <v>10373667.58</v>
      </c>
      <c r="J38" s="5">
        <v>10591969.369999999</v>
      </c>
      <c r="K38" s="5">
        <v>10128671.4</v>
      </c>
      <c r="L38" s="5">
        <v>9387101.1799999997</v>
      </c>
      <c r="M38" s="5">
        <v>5009128.51</v>
      </c>
      <c r="N38" s="5">
        <v>6053094.6200000001</v>
      </c>
      <c r="O38" s="5">
        <f>7011053.11</f>
        <v>7011053.1100000003</v>
      </c>
      <c r="P38" s="5">
        <v>7779148.9800000004</v>
      </c>
      <c r="Q38" s="5">
        <f>_xlfn.FORECAST.ETS(Q$3,C38:P38,C$3:P$3,1,1)</f>
        <v>8280497.6366813155</v>
      </c>
      <c r="R38" s="5">
        <f>_xlfn.FORECAST.ETS(R$3,D38:Q38,D$3:Q$3,1,1)+'Capital Requirements'!AM14</f>
        <v>11680987.985619465</v>
      </c>
      <c r="S38" s="5">
        <f>_xlfn.FORECAST.ETS(S$3,E38:R38,E$3:R$3,1,1)+'Capital Requirements'!AN14</f>
        <v>17415525.508235592</v>
      </c>
      <c r="T38" s="5">
        <f>_xlfn.FORECAST.ETS(T$3,F38:S38,F$3:S$3,1,1)+'Capital Requirements'!AO14</f>
        <v>18572103.664780416</v>
      </c>
      <c r="U38" s="5">
        <f>_xlfn.FORECAST.ETS(U$3,G38:T38,G$3:T$3,1,1)+'Capital Requirements'!AP14</f>
        <v>27209547.218854338</v>
      </c>
      <c r="V38" s="5">
        <f>_xlfn.FORECAST.ETS(V$3,H38:U38,H$3:U$3,1,1)+'Capital Requirements'!AQ14</f>
        <v>38900217.125457473</v>
      </c>
      <c r="X38" s="200"/>
    </row>
    <row r="39" spans="1:24" x14ac:dyDescent="0.45">
      <c r="A39" s="199" t="s">
        <v>142</v>
      </c>
      <c r="B39" s="5"/>
      <c r="C39" s="5">
        <f t="shared" ref="C39:V39" si="19">B21-C21</f>
        <v>-2082114.6199999973</v>
      </c>
      <c r="D39" s="5">
        <f t="shared" si="19"/>
        <v>1359392.2599999979</v>
      </c>
      <c r="E39" s="5">
        <f t="shared" si="19"/>
        <v>2142204.6000000015</v>
      </c>
      <c r="F39" s="5">
        <f t="shared" si="19"/>
        <v>1971256.5700000003</v>
      </c>
      <c r="G39" s="5">
        <f t="shared" si="19"/>
        <v>19342389.82</v>
      </c>
      <c r="H39" s="5">
        <f t="shared" si="19"/>
        <v>1582142.1099999994</v>
      </c>
      <c r="I39" s="5">
        <f t="shared" si="19"/>
        <v>-2502524.0800000057</v>
      </c>
      <c r="J39" s="5">
        <f t="shared" si="19"/>
        <v>1274013.3900000006</v>
      </c>
      <c r="K39" s="5">
        <f t="shared" si="19"/>
        <v>-140169.58999999613</v>
      </c>
      <c r="L39" s="5">
        <f t="shared" si="19"/>
        <v>361484.04999999702</v>
      </c>
      <c r="M39" s="5">
        <f t="shared" si="19"/>
        <v>-2336084.2800000012</v>
      </c>
      <c r="N39" s="5">
        <f t="shared" si="19"/>
        <v>-2428317.2299999967</v>
      </c>
      <c r="O39" s="5">
        <f t="shared" si="19"/>
        <v>261554.47999999672</v>
      </c>
      <c r="P39" s="5">
        <f t="shared" si="19"/>
        <v>-16100836.609999999</v>
      </c>
      <c r="Q39" s="5">
        <f t="shared" si="19"/>
        <v>-963439.52968250215</v>
      </c>
      <c r="R39" s="5">
        <f t="shared" si="19"/>
        <v>22585178.199682504</v>
      </c>
      <c r="S39" s="5">
        <f t="shared" si="19"/>
        <v>-21020805</v>
      </c>
      <c r="T39" s="5">
        <f t="shared" si="19"/>
        <v>-785642.28601570427</v>
      </c>
      <c r="U39" s="5">
        <f t="shared" si="19"/>
        <v>1173411.835737519</v>
      </c>
      <c r="V39" s="5">
        <f t="shared" si="19"/>
        <v>-2271680.7885850668</v>
      </c>
      <c r="X39" s="200"/>
    </row>
    <row r="40" spans="1:24" x14ac:dyDescent="0.45">
      <c r="A40" s="199" t="s">
        <v>173</v>
      </c>
      <c r="C40" s="5">
        <f>B35-C35</f>
        <v>-1782695.3000000007</v>
      </c>
      <c r="D40" s="5">
        <f t="shared" ref="D40:V40" si="20">C35-D35</f>
        <v>-3610062.0799999991</v>
      </c>
      <c r="E40" s="5">
        <f t="shared" si="20"/>
        <v>133837.91999999993</v>
      </c>
      <c r="F40" s="5">
        <f t="shared" si="20"/>
        <v>903535.01000000071</v>
      </c>
      <c r="G40" s="5">
        <f t="shared" si="20"/>
        <v>-1466183.8000000007</v>
      </c>
      <c r="H40" s="5">
        <f t="shared" si="20"/>
        <v>-6667366.1000000015</v>
      </c>
      <c r="I40" s="5">
        <f t="shared" si="20"/>
        <v>8071918.3200000012</v>
      </c>
      <c r="J40" s="5">
        <f t="shared" si="20"/>
        <v>-3739570.1100000003</v>
      </c>
      <c r="K40" s="5">
        <f t="shared" si="20"/>
        <v>-1016413.7199999997</v>
      </c>
      <c r="L40" s="5">
        <f t="shared" si="20"/>
        <v>4975357.5900000008</v>
      </c>
      <c r="M40" s="5">
        <f t="shared" si="20"/>
        <v>-4341964.71</v>
      </c>
      <c r="N40" s="5">
        <f t="shared" si="20"/>
        <v>544710.74999999837</v>
      </c>
      <c r="O40" s="5">
        <f t="shared" si="20"/>
        <v>4050140.160000002</v>
      </c>
      <c r="P40" s="5">
        <f t="shared" si="20"/>
        <v>-1591267.5600000015</v>
      </c>
      <c r="Q40" s="5">
        <f t="shared" si="20"/>
        <v>-39419411.130197138</v>
      </c>
      <c r="R40" s="5">
        <f t="shared" si="20"/>
        <v>-973671.51790114492</v>
      </c>
      <c r="S40" s="5">
        <f t="shared" si="20"/>
        <v>24416719.326988678</v>
      </c>
      <c r="T40" s="5">
        <f t="shared" si="20"/>
        <v>-7072087.8468235172</v>
      </c>
      <c r="U40" s="5">
        <f t="shared" si="20"/>
        <v>-3937283.7744313553</v>
      </c>
      <c r="V40" s="5">
        <f t="shared" si="20"/>
        <v>-2233137.6956518069</v>
      </c>
      <c r="X40" s="200"/>
    </row>
    <row r="41" spans="1:24" x14ac:dyDescent="0.45">
      <c r="A41" s="199" t="s">
        <v>174</v>
      </c>
      <c r="C41" s="5">
        <f>SUM(C37:C40)</f>
        <v>13294630.66</v>
      </c>
      <c r="D41" s="5">
        <f t="shared" ref="D41:V41" si="21">SUM(D37:D40)</f>
        <v>14571249.649999999</v>
      </c>
      <c r="E41" s="5">
        <f t="shared" si="21"/>
        <v>19797929.399999999</v>
      </c>
      <c r="F41" s="5">
        <f t="shared" si="21"/>
        <v>20225423.580000002</v>
      </c>
      <c r="G41" s="5">
        <f t="shared" si="21"/>
        <v>42740412.920000002</v>
      </c>
      <c r="H41" s="5">
        <f t="shared" si="21"/>
        <v>17393344.879999999</v>
      </c>
      <c r="I41" s="5">
        <f t="shared" si="21"/>
        <v>26107832.419999994</v>
      </c>
      <c r="J41" s="5">
        <f t="shared" si="21"/>
        <v>19077798.130000003</v>
      </c>
      <c r="K41" s="5">
        <f t="shared" si="21"/>
        <v>16402664.280000005</v>
      </c>
      <c r="L41" s="5">
        <f t="shared" si="21"/>
        <v>26320339.049999997</v>
      </c>
      <c r="M41" s="5">
        <f t="shared" si="21"/>
        <v>8936941.9499999993</v>
      </c>
      <c r="N41" s="5">
        <f t="shared" si="21"/>
        <v>16136466.310000001</v>
      </c>
      <c r="O41" s="5">
        <f t="shared" si="21"/>
        <v>31071770.5</v>
      </c>
      <c r="P41" s="5">
        <f t="shared" si="21"/>
        <v>57904.419999998994</v>
      </c>
      <c r="Q41" s="5">
        <f t="shared" si="21"/>
        <v>-20223066.471769989</v>
      </c>
      <c r="R41" s="5">
        <f t="shared" si="21"/>
        <v>44806354.222504765</v>
      </c>
      <c r="S41" s="5">
        <f t="shared" si="21"/>
        <v>32888248.648886669</v>
      </c>
      <c r="T41" s="5">
        <f t="shared" si="21"/>
        <v>22798597.324602723</v>
      </c>
      <c r="U41" s="5">
        <f t="shared" si="21"/>
        <v>36376224.95898021</v>
      </c>
      <c r="V41" s="5">
        <f t="shared" si="21"/>
        <v>48166245.583803728</v>
      </c>
      <c r="X41" s="200"/>
    </row>
    <row r="42" spans="1:24" x14ac:dyDescent="0.45">
      <c r="A42" s="199" t="s">
        <v>175</v>
      </c>
      <c r="C42" s="5">
        <f t="shared" ref="C42:V42" si="22">IF(C28&lt;B28,C28-B28, 0)</f>
        <v>0</v>
      </c>
      <c r="D42" s="5">
        <f t="shared" si="22"/>
        <v>0</v>
      </c>
      <c r="E42" s="5">
        <f t="shared" si="22"/>
        <v>-267335.10000000056</v>
      </c>
      <c r="F42" s="5">
        <f t="shared" si="22"/>
        <v>0</v>
      </c>
      <c r="G42" s="5">
        <f t="shared" si="22"/>
        <v>0</v>
      </c>
      <c r="H42" s="5">
        <f t="shared" si="22"/>
        <v>0</v>
      </c>
      <c r="I42" s="5">
        <f t="shared" si="22"/>
        <v>0</v>
      </c>
      <c r="J42" s="5">
        <f t="shared" si="22"/>
        <v>0</v>
      </c>
      <c r="K42" s="5">
        <f t="shared" si="22"/>
        <v>0</v>
      </c>
      <c r="L42" s="5">
        <f t="shared" si="22"/>
        <v>0</v>
      </c>
      <c r="M42" s="5">
        <f t="shared" si="22"/>
        <v>0</v>
      </c>
      <c r="N42" s="5">
        <f t="shared" si="22"/>
        <v>0</v>
      </c>
      <c r="O42" s="5">
        <f t="shared" si="22"/>
        <v>-206765</v>
      </c>
      <c r="P42" s="5">
        <f t="shared" si="22"/>
        <v>0</v>
      </c>
      <c r="Q42" s="5">
        <f t="shared" si="22"/>
        <v>0</v>
      </c>
      <c r="R42" s="5">
        <f t="shared" si="22"/>
        <v>-1457426.2567017339</v>
      </c>
      <c r="S42" s="5">
        <f t="shared" si="22"/>
        <v>0</v>
      </c>
      <c r="T42" s="5">
        <f t="shared" si="22"/>
        <v>-59933.317813158035</v>
      </c>
      <c r="U42" s="5">
        <f t="shared" si="22"/>
        <v>-858370.60915763862</v>
      </c>
      <c r="V42" s="5">
        <f t="shared" si="22"/>
        <v>0</v>
      </c>
      <c r="X42" s="200"/>
    </row>
    <row r="43" spans="1:24" x14ac:dyDescent="0.45">
      <c r="A43" s="199" t="s">
        <v>176</v>
      </c>
      <c r="C43" s="5">
        <v>-5057600</v>
      </c>
      <c r="D43" s="5">
        <v>-5755200</v>
      </c>
      <c r="E43" s="5">
        <v>-6278400</v>
      </c>
      <c r="F43" s="5">
        <v>-6986000</v>
      </c>
      <c r="G43" s="5">
        <v>-6976000</v>
      </c>
      <c r="H43" s="5">
        <f>-7324800</f>
        <v>-7324800</v>
      </c>
      <c r="I43" s="5">
        <v>-7673600</v>
      </c>
      <c r="J43" s="5">
        <v>-7673600</v>
      </c>
      <c r="K43" s="5">
        <v>-8022400</v>
      </c>
      <c r="L43" s="5">
        <v>-8022400</v>
      </c>
      <c r="M43" s="5">
        <v>-8022400</v>
      </c>
      <c r="N43" s="5">
        <v>-8022400</v>
      </c>
      <c r="O43" s="5">
        <v>-8720000</v>
      </c>
      <c r="P43" s="5">
        <v>-9592000</v>
      </c>
      <c r="Q43" s="5">
        <f t="shared" ref="Q43:V43" si="23">_xlfn.FORECAST.ETS(Q$3,C43:P43,C$3:P$3,1,1)</f>
        <v>-9859770.5494505502</v>
      </c>
      <c r="R43" s="5">
        <f t="shared" si="23"/>
        <v>-10073194.308840269</v>
      </c>
      <c r="S43" s="5">
        <f t="shared" si="23"/>
        <v>-10018647.740751799</v>
      </c>
      <c r="T43" s="5">
        <f t="shared" si="23"/>
        <v>-10299430.240635931</v>
      </c>
      <c r="U43" s="5">
        <f t="shared" si="23"/>
        <v>-10507576.789145272</v>
      </c>
      <c r="V43" s="5">
        <f t="shared" si="23"/>
        <v>-10789683.052248824</v>
      </c>
      <c r="X43" s="200"/>
    </row>
    <row r="44" spans="1:24" hidden="1" x14ac:dyDescent="0.45">
      <c r="A44" s="199" t="s">
        <v>242</v>
      </c>
      <c r="C44" s="5"/>
      <c r="D44" s="5">
        <f>(D43-C43)/C43</f>
        <v>0.13793103448275862</v>
      </c>
      <c r="E44" s="5">
        <f t="shared" ref="E44:P44" si="24">(E43-D43)/D43</f>
        <v>9.0909090909090912E-2</v>
      </c>
      <c r="F44" s="5">
        <f t="shared" si="24"/>
        <v>0.11270387359836902</v>
      </c>
      <c r="G44" s="5">
        <f t="shared" si="24"/>
        <v>-1.4314342971657602E-3</v>
      </c>
      <c r="H44" s="5">
        <f t="shared" si="24"/>
        <v>0.05</v>
      </c>
      <c r="I44" s="5">
        <f t="shared" si="24"/>
        <v>4.7619047619047616E-2</v>
      </c>
      <c r="J44" s="5">
        <f t="shared" si="24"/>
        <v>0</v>
      </c>
      <c r="K44" s="5">
        <f t="shared" si="24"/>
        <v>4.5454545454545456E-2</v>
      </c>
      <c r="L44" s="5">
        <f t="shared" si="24"/>
        <v>0</v>
      </c>
      <c r="M44" s="5">
        <f t="shared" si="24"/>
        <v>0</v>
      </c>
      <c r="N44" s="5">
        <f t="shared" si="24"/>
        <v>0</v>
      </c>
      <c r="O44" s="5">
        <f t="shared" si="24"/>
        <v>8.6956521739130432E-2</v>
      </c>
      <c r="P44" s="5">
        <f t="shared" si="24"/>
        <v>0.1</v>
      </c>
      <c r="Q44" s="244">
        <f>AVERAGE(D44:P44)</f>
        <v>5.154943688505971E-2</v>
      </c>
      <c r="R44" s="5"/>
      <c r="S44" s="5"/>
      <c r="T44" s="5"/>
      <c r="U44" s="5"/>
      <c r="V44" s="5"/>
      <c r="X44" s="200"/>
    </row>
    <row r="45" spans="1:24" ht="14.65" thickBot="1" x14ac:dyDescent="0.5">
      <c r="A45" s="214" t="s">
        <v>177</v>
      </c>
      <c r="B45" s="216"/>
      <c r="C45" s="221">
        <f>SUM(C41:C43)</f>
        <v>8237030.6600000001</v>
      </c>
      <c r="D45" s="221">
        <f t="shared" ref="D45:V45" si="25">SUM(D41:D43)</f>
        <v>8816049.6499999985</v>
      </c>
      <c r="E45" s="221">
        <f t="shared" si="25"/>
        <v>13252194.299999997</v>
      </c>
      <c r="F45" s="221">
        <f t="shared" si="25"/>
        <v>13239423.580000002</v>
      </c>
      <c r="G45" s="221">
        <f t="shared" si="25"/>
        <v>35764412.920000002</v>
      </c>
      <c r="H45" s="221">
        <f t="shared" si="25"/>
        <v>10068544.879999999</v>
      </c>
      <c r="I45" s="221">
        <f t="shared" si="25"/>
        <v>18434232.419999994</v>
      </c>
      <c r="J45" s="221">
        <f t="shared" si="25"/>
        <v>11404198.130000003</v>
      </c>
      <c r="K45" s="221">
        <f t="shared" si="25"/>
        <v>8380264.2800000049</v>
      </c>
      <c r="L45" s="221">
        <f t="shared" si="25"/>
        <v>18297939.049999997</v>
      </c>
      <c r="M45" s="221">
        <f t="shared" si="25"/>
        <v>914541.94999999925</v>
      </c>
      <c r="N45" s="221">
        <f t="shared" si="25"/>
        <v>8114066.3100000005</v>
      </c>
      <c r="O45" s="221">
        <f t="shared" si="25"/>
        <v>22145005.5</v>
      </c>
      <c r="P45" s="221">
        <f t="shared" si="25"/>
        <v>-9534095.5800000019</v>
      </c>
      <c r="Q45" s="221">
        <f t="shared" si="25"/>
        <v>-30082837.021220539</v>
      </c>
      <c r="R45" s="221">
        <f t="shared" si="25"/>
        <v>33275733.65696276</v>
      </c>
      <c r="S45" s="221">
        <f t="shared" si="25"/>
        <v>22869600.90813487</v>
      </c>
      <c r="T45" s="221">
        <f t="shared" si="25"/>
        <v>12439233.766153634</v>
      </c>
      <c r="U45" s="221">
        <f t="shared" si="25"/>
        <v>25010277.560677301</v>
      </c>
      <c r="V45" s="221">
        <f t="shared" si="25"/>
        <v>37376562.531554908</v>
      </c>
      <c r="W45" s="216"/>
      <c r="X45" s="217"/>
    </row>
    <row r="46" spans="1:24" x14ac:dyDescent="0.45">
      <c r="A46" s="208" t="s">
        <v>178</v>
      </c>
      <c r="B46" s="223"/>
      <c r="C46" s="209"/>
      <c r="D46" s="209"/>
      <c r="E46" s="209"/>
      <c r="F46" s="209"/>
      <c r="G46" s="209"/>
      <c r="H46" s="209"/>
      <c r="I46" s="209"/>
      <c r="J46" s="209"/>
      <c r="K46" s="209"/>
      <c r="L46" s="209"/>
      <c r="M46" s="209"/>
      <c r="N46" s="209"/>
      <c r="O46" s="209"/>
      <c r="P46" s="209"/>
      <c r="Q46" s="209"/>
      <c r="R46" s="209"/>
      <c r="S46" s="209"/>
      <c r="T46" s="209"/>
      <c r="U46" s="209"/>
      <c r="V46" s="209"/>
      <c r="W46" s="209"/>
      <c r="X46" s="210"/>
    </row>
    <row r="47" spans="1:24" x14ac:dyDescent="0.45">
      <c r="A47" s="199" t="s">
        <v>179</v>
      </c>
      <c r="D47" s="211">
        <f t="shared" ref="D47:V47" si="26">(D6/C6)-1</f>
        <v>-0.22892867898470692</v>
      </c>
      <c r="E47" s="211">
        <f t="shared" si="26"/>
        <v>4.913161604874805E-2</v>
      </c>
      <c r="F47" s="211">
        <f t="shared" si="26"/>
        <v>3.0615032148069377E-2</v>
      </c>
      <c r="G47" s="211">
        <f t="shared" si="26"/>
        <v>0.12697111546822226</v>
      </c>
      <c r="H47" s="211">
        <f t="shared" si="26"/>
        <v>-1.4404898025329294E-2</v>
      </c>
      <c r="I47" s="211">
        <f t="shared" si="26"/>
        <v>7.5888725304067428E-3</v>
      </c>
      <c r="J47" s="211">
        <f t="shared" si="26"/>
        <v>2.313605038483324E-2</v>
      </c>
      <c r="K47" s="211">
        <f t="shared" si="26"/>
        <v>1.1647626102650799E-2</v>
      </c>
      <c r="L47" s="211">
        <f t="shared" si="26"/>
        <v>2.2039514686826855E-2</v>
      </c>
      <c r="M47" s="211">
        <f t="shared" si="26"/>
        <v>-3.5072838514443427E-2</v>
      </c>
      <c r="N47" s="211">
        <f t="shared" si="26"/>
        <v>3.6386723184462344E-2</v>
      </c>
      <c r="O47" s="211">
        <f t="shared" si="26"/>
        <v>1.5376550230384867E-2</v>
      </c>
      <c r="P47" s="211">
        <f t="shared" si="26"/>
        <v>2.7098169388840798E-2</v>
      </c>
      <c r="Q47" s="211">
        <f t="shared" si="26"/>
        <v>1.0634439620683001E-2</v>
      </c>
      <c r="R47" s="211">
        <f t="shared" si="26"/>
        <v>0.75697743027061981</v>
      </c>
      <c r="S47" s="211">
        <f t="shared" si="26"/>
        <v>7.0568117729829405E-2</v>
      </c>
      <c r="T47" s="211">
        <f t="shared" si="26"/>
        <v>1.9789767486915188E-2</v>
      </c>
      <c r="U47" s="211">
        <f t="shared" si="26"/>
        <v>2.0546520273954094E-2</v>
      </c>
      <c r="V47" s="211">
        <f t="shared" si="26"/>
        <v>1.4881190464853811E-2</v>
      </c>
      <c r="X47" s="200"/>
    </row>
    <row r="48" spans="1:24" x14ac:dyDescent="0.45">
      <c r="A48" s="199" t="s">
        <v>180</v>
      </c>
      <c r="C48" s="211">
        <f>C9/C6</f>
        <v>0.36776132742411843</v>
      </c>
      <c r="D48" s="211">
        <f t="shared" ref="D48:V48" si="27">D9/D6</f>
        <v>0.49560590285362055</v>
      </c>
      <c r="E48" s="211">
        <f t="shared" si="27"/>
        <v>0.46362871631832137</v>
      </c>
      <c r="F48" s="211">
        <f t="shared" si="27"/>
        <v>0.48545653589499649</v>
      </c>
      <c r="G48" s="211">
        <f t="shared" si="27"/>
        <v>0.64513699125869639</v>
      </c>
      <c r="H48" s="211">
        <f t="shared" si="27"/>
        <v>0.82196082341531973</v>
      </c>
      <c r="I48" s="211">
        <f t="shared" si="27"/>
        <v>0.81459289404201185</v>
      </c>
      <c r="J48" s="211">
        <f t="shared" si="27"/>
        <v>0.7915463838400485</v>
      </c>
      <c r="K48" s="211">
        <f t="shared" si="27"/>
        <v>0.80473803632840235</v>
      </c>
      <c r="L48" s="211">
        <f t="shared" si="27"/>
        <v>0.7686453148835789</v>
      </c>
      <c r="M48" s="211">
        <f t="shared" si="27"/>
        <v>0.69418491630127621</v>
      </c>
      <c r="N48" s="211">
        <f t="shared" si="27"/>
        <v>0.69708013615866549</v>
      </c>
      <c r="O48" s="211">
        <f t="shared" si="27"/>
        <v>0.77122055896541564</v>
      </c>
      <c r="P48" s="211">
        <f t="shared" si="27"/>
        <v>0.78786372949902084</v>
      </c>
      <c r="Q48" s="211">
        <f t="shared" si="27"/>
        <v>0.81431848340259894</v>
      </c>
      <c r="R48" s="211">
        <f t="shared" si="27"/>
        <v>1.0760250850744995</v>
      </c>
      <c r="S48" s="211">
        <f t="shared" si="27"/>
        <v>1.1747516617850908</v>
      </c>
      <c r="T48" s="211">
        <f t="shared" si="27"/>
        <v>0.49896305706484539</v>
      </c>
      <c r="U48" s="211">
        <f t="shared" si="27"/>
        <v>0.50683504621940723</v>
      </c>
      <c r="V48" s="211">
        <f t="shared" si="27"/>
        <v>0.51693489358991584</v>
      </c>
      <c r="X48" s="200"/>
    </row>
    <row r="49" spans="1:24" x14ac:dyDescent="0.45">
      <c r="A49" s="199" t="s">
        <v>181</v>
      </c>
      <c r="C49" s="228">
        <v>0.3</v>
      </c>
      <c r="D49" s="228">
        <v>0.3</v>
      </c>
      <c r="E49" s="228">
        <v>0.3</v>
      </c>
      <c r="F49" s="228">
        <v>0.3</v>
      </c>
      <c r="G49" s="228">
        <v>0.3</v>
      </c>
      <c r="H49" s="228">
        <v>0.3</v>
      </c>
      <c r="I49" s="228">
        <v>0.3</v>
      </c>
      <c r="J49" s="228">
        <v>0.3</v>
      </c>
      <c r="K49" s="228">
        <v>0.3</v>
      </c>
      <c r="L49" s="228">
        <v>0.3</v>
      </c>
      <c r="M49" s="228">
        <v>0.3</v>
      </c>
      <c r="N49" s="228">
        <v>0.3</v>
      </c>
      <c r="O49" s="228">
        <v>0.3</v>
      </c>
      <c r="P49" s="228">
        <v>0.3</v>
      </c>
      <c r="Q49" s="228">
        <v>0.3</v>
      </c>
      <c r="R49" s="228">
        <v>0.3</v>
      </c>
      <c r="S49" s="228">
        <v>0.3</v>
      </c>
      <c r="T49" s="228">
        <v>0.3</v>
      </c>
      <c r="U49" s="228">
        <v>0.3</v>
      </c>
      <c r="V49" s="228">
        <v>0.3</v>
      </c>
      <c r="X49" s="200"/>
    </row>
    <row r="50" spans="1:24" x14ac:dyDescent="0.45">
      <c r="A50" s="199"/>
      <c r="X50" s="200"/>
    </row>
    <row r="51" spans="1:24" x14ac:dyDescent="0.45">
      <c r="A51" s="199" t="s">
        <v>182</v>
      </c>
      <c r="C51" s="229">
        <f t="shared" ref="C51:V51" si="28">(C19*365)/C6</f>
        <v>14.092623790094441</v>
      </c>
      <c r="D51" s="229">
        <f t="shared" si="28"/>
        <v>15.552036791344275</v>
      </c>
      <c r="E51" s="229">
        <f t="shared" si="28"/>
        <v>20.038918790827935</v>
      </c>
      <c r="F51" s="229">
        <f t="shared" si="28"/>
        <v>23.39126443531033</v>
      </c>
      <c r="G51" s="229">
        <f t="shared" si="28"/>
        <v>49.183807279694967</v>
      </c>
      <c r="H51" s="229">
        <f t="shared" si="28"/>
        <v>92.61339469942277</v>
      </c>
      <c r="I51" s="229">
        <f t="shared" si="28"/>
        <v>52.570833740067435</v>
      </c>
      <c r="J51" s="229">
        <f t="shared" si="28"/>
        <v>32.691294174798195</v>
      </c>
      <c r="K51" s="229">
        <f t="shared" si="28"/>
        <v>48.277837071414595</v>
      </c>
      <c r="L51" s="229">
        <f t="shared" si="28"/>
        <v>33.62641522608358</v>
      </c>
      <c r="M51" s="229">
        <f t="shared" si="28"/>
        <v>49.140398062167307</v>
      </c>
      <c r="N51" s="229">
        <f t="shared" si="28"/>
        <v>54.27993652409755</v>
      </c>
      <c r="O51" s="229">
        <f t="shared" si="28"/>
        <v>49.408625555717357</v>
      </c>
      <c r="P51" s="229">
        <f t="shared" si="28"/>
        <v>96.091928496492301</v>
      </c>
      <c r="Q51" s="229">
        <f t="shared" si="28"/>
        <v>356.03057004196336</v>
      </c>
      <c r="R51" s="229">
        <f t="shared" si="28"/>
        <v>207.35557521965146</v>
      </c>
      <c r="S51" s="229">
        <f t="shared" si="28"/>
        <v>201.25412546306418</v>
      </c>
      <c r="T51" s="229">
        <f t="shared" si="28"/>
        <v>163.73946165402421</v>
      </c>
      <c r="U51" s="229">
        <f t="shared" si="28"/>
        <v>180.78861829348887</v>
      </c>
      <c r="V51" s="229">
        <f t="shared" si="28"/>
        <v>193.18923874813692</v>
      </c>
      <c r="X51" s="200"/>
    </row>
    <row r="52" spans="1:24" hidden="1" x14ac:dyDescent="0.45">
      <c r="A52" s="199" t="s">
        <v>183</v>
      </c>
      <c r="C52" s="31" t="e">
        <f>365/((C6-C7)/C20)</f>
        <v>#DIV/0!</v>
      </c>
      <c r="X52" s="200"/>
    </row>
    <row r="53" spans="1:24" x14ac:dyDescent="0.45">
      <c r="A53" s="199"/>
      <c r="X53" s="200"/>
    </row>
    <row r="54" spans="1:24" x14ac:dyDescent="0.45">
      <c r="A54" s="199" t="s">
        <v>184</v>
      </c>
      <c r="C54" s="230">
        <f>C26/C$6</f>
        <v>3.4618658141517583E-3</v>
      </c>
      <c r="D54" s="230">
        <f t="shared" ref="D54:V54" si="29">D26/D$6</f>
        <v>3.5336709993833287E-3</v>
      </c>
      <c r="E54" s="230">
        <f t="shared" si="29"/>
        <v>1.3010713881639771E-3</v>
      </c>
      <c r="F54" s="230">
        <f t="shared" si="29"/>
        <v>1.2624222891958079E-3</v>
      </c>
      <c r="G54" s="230">
        <f t="shared" si="29"/>
        <v>1.1201904572960683E-3</v>
      </c>
      <c r="H54" s="230">
        <f t="shared" si="29"/>
        <v>1.1365625245617916E-3</v>
      </c>
      <c r="I54" s="230">
        <f t="shared" si="29"/>
        <v>1.1280022592026918E-3</v>
      </c>
      <c r="J54" s="230">
        <f t="shared" si="29"/>
        <v>1.1024948820622781E-3</v>
      </c>
      <c r="K54" s="230">
        <f t="shared" si="29"/>
        <v>1.0898012841779844E-3</v>
      </c>
      <c r="L54" s="230">
        <f t="shared" si="29"/>
        <v>1.0663005378142559E-3</v>
      </c>
      <c r="M54" s="230">
        <f t="shared" si="29"/>
        <v>0</v>
      </c>
      <c r="N54" s="230">
        <f t="shared" si="29"/>
        <v>0</v>
      </c>
      <c r="O54" s="230">
        <f t="shared" si="29"/>
        <v>0</v>
      </c>
      <c r="P54" s="230">
        <f t="shared" si="29"/>
        <v>0</v>
      </c>
      <c r="Q54" s="230">
        <f t="shared" si="29"/>
        <v>3.3371659618324265E-4</v>
      </c>
      <c r="R54" s="230">
        <f t="shared" si="29"/>
        <v>6.3548307061866069E-5</v>
      </c>
      <c r="S54" s="230">
        <f t="shared" si="29"/>
        <v>1.8619092881413944E-5</v>
      </c>
      <c r="T54" s="230">
        <f t="shared" si="29"/>
        <v>1.1234417014923569E-4</v>
      </c>
      <c r="U54" s="230">
        <f t="shared" si="29"/>
        <v>1.3916686044442378E-4</v>
      </c>
      <c r="V54" s="230">
        <f t="shared" si="29"/>
        <v>6.5114718439278636E-5</v>
      </c>
      <c r="X54" s="200"/>
    </row>
    <row r="55" spans="1:24" x14ac:dyDescent="0.45">
      <c r="A55" s="199" t="s">
        <v>185</v>
      </c>
      <c r="C55" s="230">
        <f>C27/C$6</f>
        <v>1.7552226938352274E-3</v>
      </c>
      <c r="D55" s="230">
        <f>D27/D$6</f>
        <v>1.7858371918020798E-3</v>
      </c>
      <c r="E55" s="230">
        <f t="shared" ref="E55:V55" si="30">E27/E$6</f>
        <v>1.7022051041869475E-3</v>
      </c>
      <c r="F55" s="230">
        <f t="shared" si="30"/>
        <v>1.6516400897424424E-3</v>
      </c>
      <c r="G55" s="230">
        <f t="shared" si="30"/>
        <v>1.4655567184224028E-3</v>
      </c>
      <c r="H55" s="230">
        <f t="shared" si="30"/>
        <v>1.486976462734153E-3</v>
      </c>
      <c r="I55" s="230">
        <f t="shared" si="30"/>
        <v>1.4757769793545229E-3</v>
      </c>
      <c r="J55" s="230">
        <f t="shared" si="30"/>
        <v>1.442405414997778E-3</v>
      </c>
      <c r="K55" s="230">
        <f t="shared" si="30"/>
        <v>1.4257982500829975E-3</v>
      </c>
      <c r="L55" s="230">
        <f t="shared" si="30"/>
        <v>1.3950519814489664E-3</v>
      </c>
      <c r="M55" s="230">
        <f t="shared" si="30"/>
        <v>1.4457588480577225E-3</v>
      </c>
      <c r="N55" s="230">
        <f t="shared" si="30"/>
        <v>0</v>
      </c>
      <c r="O55" s="230">
        <f t="shared" si="30"/>
        <v>0</v>
      </c>
      <c r="P55" s="230">
        <f t="shared" si="30"/>
        <v>0</v>
      </c>
      <c r="Q55" s="230">
        <f t="shared" si="30"/>
        <v>2.4192483786873552E-4</v>
      </c>
      <c r="R55" s="230">
        <f t="shared" si="30"/>
        <v>4.5533725926045789E-5</v>
      </c>
      <c r="S55" s="230">
        <f t="shared" si="30"/>
        <v>5.3919377785633882E-5</v>
      </c>
      <c r="T55" s="230">
        <f t="shared" si="30"/>
        <v>7.1566347391795572E-5</v>
      </c>
      <c r="U55" s="230">
        <f t="shared" si="30"/>
        <v>1.538484550701263E-4</v>
      </c>
      <c r="V55" s="230">
        <f t="shared" si="30"/>
        <v>1.8592553623435583E-4</v>
      </c>
      <c r="X55" s="200"/>
    </row>
    <row r="56" spans="1:24" x14ac:dyDescent="0.45">
      <c r="A56" s="199"/>
      <c r="X56" s="200"/>
    </row>
    <row r="57" spans="1:24" x14ac:dyDescent="0.45">
      <c r="A57" s="199" t="s">
        <v>186</v>
      </c>
      <c r="C57" s="211">
        <f t="shared" ref="C57:V57" si="31">C28/(C28+C29+C30)</f>
        <v>7.8686727565399475E-2</v>
      </c>
      <c r="D57" s="211">
        <f t="shared" si="31"/>
        <v>7.3659873114704136E-2</v>
      </c>
      <c r="E57" s="211">
        <f t="shared" si="31"/>
        <v>6.4810232969578635E-2</v>
      </c>
      <c r="F57" s="211">
        <f t="shared" si="31"/>
        <v>6.4065290029325817E-2</v>
      </c>
      <c r="G57" s="211">
        <f t="shared" si="31"/>
        <v>5.8352860477304175E-2</v>
      </c>
      <c r="H57" s="211">
        <f t="shared" si="31"/>
        <v>5.8000216784902525E-2</v>
      </c>
      <c r="I57" s="211">
        <f t="shared" si="31"/>
        <v>5.6828998141559797E-2</v>
      </c>
      <c r="J57" s="211">
        <f t="shared" si="31"/>
        <v>5.7335135544352829E-2</v>
      </c>
      <c r="K57" s="211">
        <f t="shared" si="31"/>
        <v>5.8017899819630722E-2</v>
      </c>
      <c r="L57" s="211">
        <f t="shared" si="31"/>
        <v>5.689540447108634E-2</v>
      </c>
      <c r="M57" s="211">
        <f t="shared" si="31"/>
        <v>5.5782110984102601E-2</v>
      </c>
      <c r="N57" s="211">
        <f t="shared" si="31"/>
        <v>5.5156810074345607E-2</v>
      </c>
      <c r="O57" s="211">
        <f t="shared" si="31"/>
        <v>4.9448357270665565E-2</v>
      </c>
      <c r="P57" s="211">
        <f t="shared" si="31"/>
        <v>5.0677628217743395E-2</v>
      </c>
      <c r="Q57" s="211">
        <f t="shared" si="31"/>
        <v>7.5665627678445702E-2</v>
      </c>
      <c r="R57" s="211">
        <f t="shared" si="31"/>
        <v>7.4580350048562144E-2</v>
      </c>
      <c r="S57" s="211">
        <f t="shared" si="31"/>
        <v>8.626716140938552E-2</v>
      </c>
      <c r="T57" s="211">
        <f t="shared" si="31"/>
        <v>7.9876309302139667E-2</v>
      </c>
      <c r="U57" s="211">
        <f t="shared" si="31"/>
        <v>7.4265689882372171E-2</v>
      </c>
      <c r="V57" s="211">
        <f t="shared" si="31"/>
        <v>7.8153887345318557E-2</v>
      </c>
      <c r="X57" s="200"/>
    </row>
    <row r="58" spans="1:24" x14ac:dyDescent="0.45">
      <c r="A58" s="199"/>
      <c r="X58" s="200"/>
    </row>
    <row r="59" spans="1:24" x14ac:dyDescent="0.45">
      <c r="A59" s="199" t="s">
        <v>187</v>
      </c>
      <c r="C59" s="211">
        <f t="shared" ref="C59:V59" si="32">C13/C23</f>
        <v>0.15956419222673979</v>
      </c>
      <c r="D59" s="211">
        <f t="shared" si="32"/>
        <v>0.14588281210633616</v>
      </c>
      <c r="E59" s="211">
        <f t="shared" si="32"/>
        <v>0.14175969524346418</v>
      </c>
      <c r="F59" s="211">
        <f t="shared" si="32"/>
        <v>0.12543362552044793</v>
      </c>
      <c r="G59" s="211">
        <f t="shared" si="32"/>
        <v>0.15394088011926579</v>
      </c>
      <c r="H59" s="211">
        <f t="shared" si="32"/>
        <v>9.4237792244374147E-2</v>
      </c>
      <c r="I59" s="211">
        <f t="shared" si="32"/>
        <v>7.8925009078652075E-2</v>
      </c>
      <c r="J59" s="211">
        <f t="shared" si="32"/>
        <v>8.6792782076770714E-2</v>
      </c>
      <c r="K59" s="211">
        <f t="shared" si="32"/>
        <v>5.8716402695305127E-2</v>
      </c>
      <c r="L59" s="211">
        <f t="shared" si="32"/>
        <v>8.7006798430384572E-2</v>
      </c>
      <c r="M59" s="211">
        <f t="shared" si="32"/>
        <v>7.9636285045485949E-2</v>
      </c>
      <c r="N59" s="211">
        <f t="shared" si="32"/>
        <v>8.635355934335541E-2</v>
      </c>
      <c r="O59" s="211">
        <f t="shared" si="32"/>
        <v>0.12922469260939037</v>
      </c>
      <c r="P59" s="211">
        <f t="shared" si="32"/>
        <v>6.3052190642312197E-2</v>
      </c>
      <c r="Q59" s="211">
        <f t="shared" si="32"/>
        <v>5.3715675800797502E-2</v>
      </c>
      <c r="R59" s="211">
        <f t="shared" si="32"/>
        <v>5.6227881440702732E-2</v>
      </c>
      <c r="S59" s="211">
        <f t="shared" si="32"/>
        <v>5.2192001054351227E-2</v>
      </c>
      <c r="T59" s="211">
        <f t="shared" si="32"/>
        <v>5.248641221982598E-2</v>
      </c>
      <c r="U59" s="211">
        <f t="shared" si="32"/>
        <v>5.0627167076027858E-2</v>
      </c>
      <c r="V59" s="211">
        <f t="shared" si="32"/>
        <v>5.6630462022091092E-2</v>
      </c>
      <c r="X59" s="200"/>
    </row>
    <row r="60" spans="1:24" x14ac:dyDescent="0.45">
      <c r="A60" s="199" t="s">
        <v>188</v>
      </c>
      <c r="C60" s="211">
        <f t="shared" ref="C60:V60" si="33">C13/(C29+C30)</f>
        <v>0.19733313742076231</v>
      </c>
      <c r="D60" s="211">
        <f t="shared" si="33"/>
        <v>0.17016410191774131</v>
      </c>
      <c r="E60" s="211">
        <f t="shared" si="33"/>
        <v>0.16393989328843064</v>
      </c>
      <c r="F60" s="211">
        <f t="shared" si="33"/>
        <v>0.14602626083093107</v>
      </c>
      <c r="G60" s="211">
        <f t="shared" si="33"/>
        <v>0.18100510909196879</v>
      </c>
      <c r="H60" s="211">
        <f t="shared" si="33"/>
        <v>0.10985893467721498</v>
      </c>
      <c r="I60" s="211">
        <f t="shared" si="33"/>
        <v>9.2674452812853969E-2</v>
      </c>
      <c r="J60" s="211">
        <f t="shared" si="33"/>
        <v>9.7037274474092022E-2</v>
      </c>
      <c r="K60" s="211">
        <f t="shared" si="33"/>
        <v>6.6248095983558214E-2</v>
      </c>
      <c r="L60" s="211">
        <f t="shared" si="33"/>
        <v>0.10028532064226679</v>
      </c>
      <c r="M60" s="211">
        <f t="shared" si="33"/>
        <v>8.9792930045845959E-2</v>
      </c>
      <c r="N60" s="211">
        <f t="shared" si="33"/>
        <v>9.8125033259164329E-2</v>
      </c>
      <c r="O60" s="211">
        <f t="shared" si="33"/>
        <v>0.14862005696321706</v>
      </c>
      <c r="P60" s="211">
        <f t="shared" si="33"/>
        <v>7.4850645652965134E-2</v>
      </c>
      <c r="Q60" s="211">
        <f t="shared" si="33"/>
        <v>6.1870373996827314E-2</v>
      </c>
      <c r="R60" s="211">
        <f t="shared" si="33"/>
        <v>6.5071649840491755E-2</v>
      </c>
      <c r="S60" s="211">
        <f t="shared" si="33"/>
        <v>6.9020416928700284E-2</v>
      </c>
      <c r="T60" s="211">
        <f t="shared" si="33"/>
        <v>6.3733553789881908E-2</v>
      </c>
      <c r="U60" s="211">
        <f t="shared" si="33"/>
        <v>6.134796966503412E-2</v>
      </c>
      <c r="V60" s="211">
        <f t="shared" si="33"/>
        <v>6.9220394630969476E-2</v>
      </c>
      <c r="X60" s="200"/>
    </row>
    <row r="61" spans="1:24" x14ac:dyDescent="0.45">
      <c r="A61" s="199" t="s">
        <v>189</v>
      </c>
      <c r="C61" s="211">
        <f t="shared" ref="C61:V61" si="34">(C10*(1-C49))/(C28+C29+C30)</f>
        <v>0.14938410585369705</v>
      </c>
      <c r="D61" s="211">
        <f t="shared" si="34"/>
        <v>0.12576098121742627</v>
      </c>
      <c r="E61" s="211">
        <f t="shared" si="34"/>
        <v>0.13367721794550086</v>
      </c>
      <c r="F61" s="211">
        <f t="shared" si="34"/>
        <v>0.10528886963195508</v>
      </c>
      <c r="G61" s="211">
        <f t="shared" si="34"/>
        <v>3.3988928748623172E-2</v>
      </c>
      <c r="H61" s="211">
        <f t="shared" si="34"/>
        <v>-2.0806386251701871E-2</v>
      </c>
      <c r="I61" s="211">
        <f t="shared" si="34"/>
        <v>-1.7345228925200136E-2</v>
      </c>
      <c r="J61" s="211">
        <f t="shared" si="34"/>
        <v>-1.8036113823822586E-2</v>
      </c>
      <c r="K61" s="211">
        <f t="shared" si="34"/>
        <v>-2.7666091327969482E-2</v>
      </c>
      <c r="L61" s="211">
        <f t="shared" si="34"/>
        <v>-1.0880590807494345E-2</v>
      </c>
      <c r="M61" s="211">
        <f t="shared" si="34"/>
        <v>1.9706147474984167E-2</v>
      </c>
      <c r="N61" s="211">
        <f t="shared" si="34"/>
        <v>9.5944930116033545E-3</v>
      </c>
      <c r="O61" s="211">
        <f t="shared" si="34"/>
        <v>-3.7846316463785883E-3</v>
      </c>
      <c r="P61" s="211">
        <f t="shared" si="34"/>
        <v>-1.3726449131202025E-2</v>
      </c>
      <c r="Q61" s="211">
        <f t="shared" si="34"/>
        <v>-1.7475216642822387E-2</v>
      </c>
      <c r="R61" s="211">
        <f t="shared" si="34"/>
        <v>-0.11896823775345546</v>
      </c>
      <c r="S61" s="211">
        <f t="shared" si="34"/>
        <v>-0.16231659697455525</v>
      </c>
      <c r="T61" s="211">
        <f t="shared" si="34"/>
        <v>6.0299120443455582E-2</v>
      </c>
      <c r="U61" s="211">
        <f t="shared" si="34"/>
        <v>5.6215442028811298E-2</v>
      </c>
      <c r="V61" s="211">
        <f t="shared" si="34"/>
        <v>5.0774385209331349E-2</v>
      </c>
      <c r="X61" s="200"/>
    </row>
    <row r="62" spans="1:24" ht="14.65" thickBot="1" x14ac:dyDescent="0.5">
      <c r="A62" s="214"/>
      <c r="B62" s="216"/>
      <c r="C62" s="215"/>
      <c r="D62" s="215"/>
      <c r="E62" s="215"/>
      <c r="F62" s="215"/>
      <c r="G62" s="215"/>
      <c r="H62" s="215"/>
      <c r="I62" s="215"/>
      <c r="J62" s="215"/>
      <c r="K62" s="215"/>
      <c r="L62" s="215"/>
      <c r="M62" s="215"/>
      <c r="N62" s="215"/>
      <c r="O62" s="215"/>
      <c r="P62" s="215"/>
      <c r="Q62" s="215"/>
      <c r="R62" s="215"/>
      <c r="S62" s="215"/>
      <c r="T62" s="215"/>
      <c r="U62" s="215"/>
      <c r="V62" s="215"/>
      <c r="W62" s="216"/>
      <c r="X62" s="217"/>
    </row>
    <row r="63" spans="1:24" hidden="1" x14ac:dyDescent="0.45">
      <c r="A63" s="199"/>
      <c r="O63" s="236" t="s">
        <v>233</v>
      </c>
      <c r="P63" s="237">
        <f>AVERAGE(C60:P60)</f>
        <v>0.12399723193292946</v>
      </c>
      <c r="Q63" s="240" t="s">
        <v>236</v>
      </c>
      <c r="R63" s="241">
        <v>0.83</v>
      </c>
      <c r="X63" s="200"/>
    </row>
    <row r="64" spans="1:24" ht="14.65" hidden="1" thickBot="1" x14ac:dyDescent="0.5">
      <c r="A64" s="214"/>
      <c r="B64" s="216"/>
      <c r="C64" s="216"/>
      <c r="D64" s="216"/>
      <c r="E64" s="216"/>
      <c r="F64" s="216"/>
      <c r="G64" s="216"/>
      <c r="H64" s="216"/>
      <c r="I64" s="216"/>
      <c r="J64" s="216"/>
      <c r="K64" s="216"/>
      <c r="L64" s="216"/>
      <c r="M64" s="216"/>
      <c r="N64" s="216"/>
      <c r="O64" s="238" t="s">
        <v>234</v>
      </c>
      <c r="P64" s="239">
        <v>7.0000000000000007E-2</v>
      </c>
      <c r="Q64" s="242" t="s">
        <v>237</v>
      </c>
      <c r="R64" s="243">
        <v>0.17</v>
      </c>
      <c r="S64" s="216"/>
      <c r="T64" s="216"/>
      <c r="U64" s="216"/>
      <c r="V64" s="216"/>
      <c r="W64" s="216"/>
      <c r="X64" s="217"/>
    </row>
    <row r="65" spans="1:16" hidden="1" x14ac:dyDescent="0.45">
      <c r="A65" s="231"/>
      <c r="O65" s="31" t="s">
        <v>235</v>
      </c>
      <c r="P65" s="228">
        <f>P63*R63+P64*R64</f>
        <v>0.11481770250433145</v>
      </c>
    </row>
    <row r="88" spans="1:24" x14ac:dyDescent="0.45">
      <c r="A88" s="199"/>
      <c r="X88" s="200"/>
    </row>
    <row r="89" spans="1:24" x14ac:dyDescent="0.45">
      <c r="A89" s="199"/>
      <c r="C89" s="5"/>
      <c r="D89" s="5"/>
      <c r="E89" s="5"/>
      <c r="F89" s="5"/>
      <c r="G89" s="5"/>
      <c r="H89" s="5"/>
      <c r="I89" s="5"/>
      <c r="J89" s="5"/>
      <c r="K89" s="5"/>
      <c r="L89" s="5"/>
      <c r="M89" s="5"/>
      <c r="N89" s="5"/>
      <c r="O89" s="5"/>
      <c r="P89" s="5"/>
      <c r="Q89" s="5"/>
      <c r="R89" s="5"/>
      <c r="S89" s="5"/>
      <c r="T89" s="5"/>
      <c r="U89" s="5"/>
      <c r="V89" s="5"/>
      <c r="X89" s="200"/>
    </row>
  </sheetData>
  <mergeCells count="3">
    <mergeCell ref="C2:P2"/>
    <mergeCell ref="R2:V2"/>
    <mergeCell ref="W2:X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360E9-3FEB-4B3C-8DCD-89AC09E3FA74}">
  <dimension ref="A1:Z144"/>
  <sheetViews>
    <sheetView tabSelected="1" zoomScale="60" zoomScaleNormal="60" workbookViewId="0">
      <pane xSplit="1" ySplit="3" topLeftCell="R23" activePane="bottomRight" state="frozen"/>
      <selection activeCell="A3" sqref="A3"/>
      <selection pane="topRight" activeCell="B3" sqref="B3"/>
      <selection pane="bottomLeft" activeCell="A4" sqref="A4"/>
      <selection pane="bottomRight" activeCell="S54" sqref="S54"/>
    </sheetView>
  </sheetViews>
  <sheetFormatPr defaultRowHeight="14.25" x14ac:dyDescent="0.45"/>
  <cols>
    <col min="1" max="1" width="52.46484375" bestFit="1" customWidth="1"/>
    <col min="2" max="2" width="14.19921875" style="2" hidden="1" customWidth="1"/>
    <col min="3" max="5" width="13.59765625" style="2" hidden="1" customWidth="1"/>
    <col min="6" max="6" width="14.19921875" style="2" hidden="1" customWidth="1"/>
    <col min="7" max="7" width="13.59765625" style="2" hidden="1" customWidth="1"/>
    <col min="8" max="8" width="14.19921875" style="2" hidden="1" customWidth="1"/>
    <col min="9" max="10" width="13.59765625" style="2" hidden="1" customWidth="1"/>
    <col min="11" max="11" width="14.19921875" style="2" hidden="1" customWidth="1"/>
    <col min="12" max="15" width="13.59765625" style="2" hidden="1" customWidth="1"/>
    <col min="16" max="16" width="14.19921875" style="2" hidden="1" customWidth="1"/>
    <col min="17" max="17" width="13.6640625" style="2" hidden="1" customWidth="1"/>
    <col min="18" max="18" width="24.46484375" style="2" bestFit="1" customWidth="1"/>
    <col min="19" max="21" width="25.59765625" style="2" bestFit="1" customWidth="1"/>
    <col min="22" max="22" width="24.46484375" style="2" bestFit="1" customWidth="1"/>
    <col min="23" max="23" width="9.06640625" style="2"/>
    <col min="24" max="24" width="9.06640625" style="2" customWidth="1"/>
    <col min="25" max="16384" width="9.06640625" style="2"/>
  </cols>
  <sheetData>
    <row r="1" spans="1:22" customFormat="1" ht="14.25" customHeight="1" thickBot="1" x14ac:dyDescent="0.5">
      <c r="A1" s="4"/>
      <c r="B1" s="4"/>
      <c r="C1" s="4"/>
      <c r="D1" s="4"/>
      <c r="E1" s="4"/>
      <c r="F1" s="4"/>
      <c r="G1" s="4"/>
      <c r="H1" s="4"/>
      <c r="I1" s="4"/>
      <c r="J1" s="4"/>
      <c r="K1" s="4"/>
      <c r="L1" s="4"/>
      <c r="M1" s="4"/>
      <c r="N1" s="4"/>
      <c r="O1" s="4"/>
      <c r="P1" s="4"/>
    </row>
    <row r="2" spans="1:22" customFormat="1" ht="16.899999999999999" customHeight="1" x14ac:dyDescent="0.45">
      <c r="A2" s="23"/>
      <c r="B2" s="295" t="s">
        <v>2</v>
      </c>
      <c r="C2" s="295"/>
      <c r="D2" s="295"/>
      <c r="E2" s="295"/>
      <c r="F2" s="295"/>
      <c r="G2" s="295"/>
      <c r="H2" s="295"/>
      <c r="I2" s="295"/>
      <c r="J2" s="295"/>
      <c r="K2" s="295"/>
      <c r="L2" s="295"/>
      <c r="M2" s="295"/>
      <c r="N2" s="295"/>
      <c r="O2" s="295"/>
      <c r="P2" s="295"/>
      <c r="Q2" s="245" t="s">
        <v>1</v>
      </c>
      <c r="R2" s="294" t="s">
        <v>3</v>
      </c>
      <c r="S2" s="294"/>
      <c r="T2" s="294"/>
      <c r="U2" s="294"/>
      <c r="V2" s="293"/>
    </row>
    <row r="3" spans="1:22" customFormat="1" x14ac:dyDescent="0.45">
      <c r="A3" s="9" t="s">
        <v>220</v>
      </c>
      <c r="B3">
        <v>2009</v>
      </c>
      <c r="C3">
        <v>2010</v>
      </c>
      <c r="D3">
        <v>2011</v>
      </c>
      <c r="E3">
        <v>2012</v>
      </c>
      <c r="F3">
        <v>2013</v>
      </c>
      <c r="G3">
        <v>2014</v>
      </c>
      <c r="H3">
        <v>2015</v>
      </c>
      <c r="I3">
        <v>2016</v>
      </c>
      <c r="J3">
        <v>2017</v>
      </c>
      <c r="K3">
        <v>2018</v>
      </c>
      <c r="L3">
        <v>2019</v>
      </c>
      <c r="M3">
        <v>2020</v>
      </c>
      <c r="N3">
        <v>2021</v>
      </c>
      <c r="O3">
        <v>2022</v>
      </c>
      <c r="P3">
        <v>2023</v>
      </c>
      <c r="Q3">
        <v>2024</v>
      </c>
      <c r="R3">
        <v>2025</v>
      </c>
      <c r="S3">
        <v>2026</v>
      </c>
      <c r="T3">
        <v>2027</v>
      </c>
      <c r="U3">
        <v>2028</v>
      </c>
      <c r="V3" s="10">
        <v>2029</v>
      </c>
    </row>
    <row r="4" spans="1:22" customFormat="1" hidden="1" x14ac:dyDescent="0.45">
      <c r="A4" s="175" t="s">
        <v>224</v>
      </c>
      <c r="Q4" s="2"/>
      <c r="R4" s="2"/>
      <c r="S4" s="2"/>
      <c r="T4" s="2"/>
      <c r="U4" s="2"/>
      <c r="V4" s="87"/>
    </row>
    <row r="5" spans="1:22" hidden="1" x14ac:dyDescent="0.45">
      <c r="A5" s="246" t="s">
        <v>225</v>
      </c>
      <c r="B5" s="2">
        <v>16896479.260000002</v>
      </c>
      <c r="C5" s="2">
        <v>20711660.359999999</v>
      </c>
      <c r="D5" s="2">
        <v>19318478.469999999</v>
      </c>
      <c r="E5" s="2">
        <v>22006317.309999999</v>
      </c>
      <c r="F5" s="2">
        <v>21197215.870000001</v>
      </c>
      <c r="G5" s="2">
        <v>16946872.420000002</v>
      </c>
      <c r="H5" s="2">
        <v>9348008.7899999991</v>
      </c>
      <c r="I5" s="2">
        <v>8974161.7300000004</v>
      </c>
      <c r="J5" s="2">
        <v>9373517.2400000002</v>
      </c>
      <c r="K5" s="2">
        <v>9018265.7899999991</v>
      </c>
      <c r="L5" s="2">
        <v>10873671.4</v>
      </c>
      <c r="M5" s="2">
        <v>13763985.93</v>
      </c>
      <c r="N5" s="2">
        <v>14769916.619999999</v>
      </c>
      <c r="O5" s="2">
        <v>11210627.25</v>
      </c>
      <c r="P5" s="2">
        <v>10610070.85</v>
      </c>
      <c r="Q5" s="2">
        <f>ABS(_xlfn.FORECAST.ETS(Q$3,C5:P5,C$3:P$3,1,1))</f>
        <v>9799910.1435604393</v>
      </c>
      <c r="R5" s="2">
        <f t="shared" ref="R5:V9" si="0">ABS(_xlfn.FORECAST.ETS(R$3,D5:Q5,D$3:Q$3,1,1))</f>
        <v>9081679.5408709571</v>
      </c>
      <c r="S5" s="2">
        <f t="shared" si="0"/>
        <v>8440624.7666873913</v>
      </c>
      <c r="T5" s="2">
        <f t="shared" si="0"/>
        <v>7997830.6810578797</v>
      </c>
      <c r="U5" s="2">
        <f t="shared" si="0"/>
        <v>7512125.3999810424</v>
      </c>
      <c r="V5" s="87">
        <f t="shared" si="0"/>
        <v>6982144.8279446047</v>
      </c>
    </row>
    <row r="6" spans="1:22" hidden="1" x14ac:dyDescent="0.45">
      <c r="A6" s="246" t="s">
        <v>226</v>
      </c>
      <c r="B6" s="2">
        <v>2679011.31</v>
      </c>
      <c r="C6" s="5">
        <v>3305360.84</v>
      </c>
      <c r="D6" s="5">
        <v>3626768.8</v>
      </c>
      <c r="E6" s="5">
        <v>3567907.85</v>
      </c>
      <c r="F6" s="5">
        <v>4006497.89</v>
      </c>
      <c r="G6" s="5">
        <v>6232517.2699999996</v>
      </c>
      <c r="H6" s="5">
        <v>10691341.470000001</v>
      </c>
      <c r="I6" s="5">
        <v>10373667.58</v>
      </c>
      <c r="J6" s="5">
        <v>10591969.369999999</v>
      </c>
      <c r="K6" s="5">
        <v>10128671.4</v>
      </c>
      <c r="L6" s="5">
        <v>9387101.1799999997</v>
      </c>
      <c r="M6" s="5">
        <v>5009128.51</v>
      </c>
      <c r="N6" s="5">
        <v>6053094.6200000001</v>
      </c>
      <c r="O6" s="5">
        <f>7011053.11</f>
        <v>7011053.1100000003</v>
      </c>
      <c r="P6" s="5">
        <v>7779148.9800000004</v>
      </c>
      <c r="Q6" s="2">
        <f>ABS(_xlfn.FORECAST.ETS(Q$3,C6:P6,C$3:P$3,1,1))</f>
        <v>8084807.61654945</v>
      </c>
      <c r="R6" s="2">
        <f t="shared" si="0"/>
        <v>8300695.8220552616</v>
      </c>
      <c r="S6" s="2">
        <f t="shared" si="0"/>
        <v>8379774.963475721</v>
      </c>
      <c r="T6" s="2">
        <f t="shared" si="0"/>
        <v>8382979.4276466379</v>
      </c>
      <c r="U6" s="2">
        <f t="shared" si="0"/>
        <v>8260214.5549229495</v>
      </c>
      <c r="V6" s="87">
        <f t="shared" si="0"/>
        <v>8076805.2226296039</v>
      </c>
    </row>
    <row r="7" spans="1:22" hidden="1" x14ac:dyDescent="0.45">
      <c r="A7" s="9" t="s">
        <v>228</v>
      </c>
      <c r="B7" s="2">
        <f>0.3*B5</f>
        <v>5068943.7779999999</v>
      </c>
      <c r="C7" s="2">
        <f t="shared" ref="C7:V7" si="1">0.3*C5</f>
        <v>6213498.108</v>
      </c>
      <c r="D7" s="2">
        <f t="shared" si="1"/>
        <v>5795543.5409999993</v>
      </c>
      <c r="E7" s="2">
        <f t="shared" si="1"/>
        <v>6601895.192999999</v>
      </c>
      <c r="F7" s="2">
        <f t="shared" si="1"/>
        <v>6359164.7609999999</v>
      </c>
      <c r="G7" s="2">
        <f t="shared" si="1"/>
        <v>5084061.7260000007</v>
      </c>
      <c r="H7" s="2">
        <f t="shared" si="1"/>
        <v>2804402.6369999996</v>
      </c>
      <c r="I7" s="2">
        <f t="shared" si="1"/>
        <v>2692248.5189999999</v>
      </c>
      <c r="J7" s="2">
        <f t="shared" si="1"/>
        <v>2812055.1719999998</v>
      </c>
      <c r="K7" s="2">
        <f t="shared" si="1"/>
        <v>2705479.7369999997</v>
      </c>
      <c r="L7" s="2">
        <f t="shared" si="1"/>
        <v>3262101.42</v>
      </c>
      <c r="M7" s="2">
        <f t="shared" si="1"/>
        <v>4129195.7789999996</v>
      </c>
      <c r="N7" s="2">
        <f t="shared" si="1"/>
        <v>4430974.9859999996</v>
      </c>
      <c r="O7" s="2">
        <f t="shared" si="1"/>
        <v>3363188.1749999998</v>
      </c>
      <c r="P7" s="2">
        <f t="shared" si="1"/>
        <v>3183021.2549999999</v>
      </c>
      <c r="Q7" s="2">
        <f t="shared" si="1"/>
        <v>2939973.0430681319</v>
      </c>
      <c r="R7" s="2">
        <f t="shared" si="1"/>
        <v>2724503.8622612869</v>
      </c>
      <c r="S7" s="2">
        <f t="shared" si="1"/>
        <v>2532187.4300062172</v>
      </c>
      <c r="T7" s="2">
        <f t="shared" si="1"/>
        <v>2399349.2043173639</v>
      </c>
      <c r="U7" s="2">
        <f t="shared" si="1"/>
        <v>2253637.6199943125</v>
      </c>
      <c r="V7" s="87">
        <f t="shared" si="1"/>
        <v>2094643.4483833814</v>
      </c>
    </row>
    <row r="8" spans="1:22" hidden="1" x14ac:dyDescent="0.45">
      <c r="A8" s="9" t="s">
        <v>229</v>
      </c>
      <c r="B8" s="2">
        <f>28018525.79</f>
        <v>28018525.789999999</v>
      </c>
      <c r="C8" s="2">
        <v>16259832.76</v>
      </c>
      <c r="D8" s="2">
        <v>3316520.5</v>
      </c>
      <c r="E8" s="2">
        <v>687446.9</v>
      </c>
      <c r="F8" s="2">
        <v>32469423.57</v>
      </c>
      <c r="G8" s="2">
        <v>9470823.7699999996</v>
      </c>
      <c r="H8" s="2">
        <v>23955545.879999999</v>
      </c>
      <c r="I8" s="2">
        <v>3197433.71</v>
      </c>
      <c r="J8" s="2">
        <v>1963821.4</v>
      </c>
      <c r="K8" s="2">
        <v>27822241.02</v>
      </c>
      <c r="L8" s="2">
        <v>4925456.2300000004</v>
      </c>
      <c r="M8" s="2">
        <v>5984032</v>
      </c>
      <c r="N8" s="2">
        <v>9467495.8100000005</v>
      </c>
      <c r="O8" s="2">
        <v>12776080.5</v>
      </c>
      <c r="P8" s="2">
        <v>31691230.579999998</v>
      </c>
      <c r="Q8" s="2">
        <f>ABS(_xlfn.FORECAST.ETS(Q$3,C8:P8,C$3:P$3,1,1))</f>
        <v>17398714.059133291</v>
      </c>
      <c r="R8" s="2">
        <f t="shared" si="0"/>
        <v>16975529.336098358</v>
      </c>
      <c r="S8" s="2">
        <f t="shared" si="0"/>
        <v>18159133.952389613</v>
      </c>
      <c r="T8" s="2">
        <f t="shared" si="0"/>
        <v>17458404.946929816</v>
      </c>
      <c r="U8" s="2">
        <f t="shared" si="0"/>
        <v>19315304.572667304</v>
      </c>
      <c r="V8" s="87">
        <f t="shared" si="0"/>
        <v>20317451.02695306</v>
      </c>
    </row>
    <row r="9" spans="1:22" hidden="1" x14ac:dyDescent="0.45">
      <c r="A9" s="9" t="s">
        <v>227</v>
      </c>
      <c r="B9" s="2">
        <v>-12626949.939999999</v>
      </c>
      <c r="C9" s="2">
        <v>-8501042.1099999994</v>
      </c>
      <c r="D9" s="2">
        <v>3575340.3</v>
      </c>
      <c r="E9" s="2">
        <v>18871821.27</v>
      </c>
      <c r="F9" s="2">
        <v>-19987959.199999999</v>
      </c>
      <c r="G9" s="2">
        <v>9470587.1300000008</v>
      </c>
      <c r="H9" s="2">
        <v>-1337040.96</v>
      </c>
      <c r="I9" s="2">
        <v>5958896.4800000004</v>
      </c>
      <c r="J9" s="2">
        <v>22043838.850000001</v>
      </c>
      <c r="K9" s="2">
        <v>7433293.2300000004</v>
      </c>
      <c r="L9" s="2">
        <v>5823553.7999999998</v>
      </c>
      <c r="M9" s="2">
        <v>1481578</v>
      </c>
      <c r="N9" s="2">
        <v>-786225.29</v>
      </c>
      <c r="O9" s="2">
        <v>10516451.119999999</v>
      </c>
      <c r="P9" s="2">
        <v>-20586677.739999998</v>
      </c>
      <c r="Q9" s="2">
        <f>ABS(_xlfn.FORECAST.ETS(Q$3,C9:P9,C$3:P$3,1,1))</f>
        <v>1683396.9912668865</v>
      </c>
      <c r="R9" s="2">
        <f t="shared" si="0"/>
        <v>3904480.2693331167</v>
      </c>
      <c r="S9" s="2">
        <f t="shared" si="0"/>
        <v>1184746.2393329234</v>
      </c>
      <c r="T9" s="2">
        <f t="shared" si="0"/>
        <v>1436425.5461226224</v>
      </c>
      <c r="U9" s="2">
        <f t="shared" si="0"/>
        <v>1894358.3165614572</v>
      </c>
      <c r="V9" s="87">
        <f t="shared" si="0"/>
        <v>2818739.248966075</v>
      </c>
    </row>
    <row r="10" spans="1:22" hidden="1" x14ac:dyDescent="0.45">
      <c r="A10" s="9"/>
      <c r="V10" s="87"/>
    </row>
    <row r="11" spans="1:22" hidden="1" x14ac:dyDescent="0.45">
      <c r="A11" s="175" t="s">
        <v>230</v>
      </c>
      <c r="V11" s="87"/>
    </row>
    <row r="12" spans="1:22" hidden="1" x14ac:dyDescent="0.45">
      <c r="A12" s="246" t="s">
        <v>225</v>
      </c>
      <c r="C12" s="247">
        <f>(C5-B5)/B5</f>
        <v>0.22579740082490993</v>
      </c>
      <c r="D12" s="2">
        <f t="shared" ref="D12:P12" si="2">(D5-C5)/C5</f>
        <v>-6.72655820819959E-2</v>
      </c>
      <c r="E12" s="2">
        <f t="shared" si="2"/>
        <v>0.13913305047154678</v>
      </c>
      <c r="F12" s="2">
        <f t="shared" si="2"/>
        <v>-3.6766780584061187E-2</v>
      </c>
      <c r="G12" s="2">
        <f t="shared" si="2"/>
        <v>-0.20051423149468539</v>
      </c>
      <c r="H12" s="2">
        <f t="shared" si="2"/>
        <v>-0.44839327527078898</v>
      </c>
      <c r="I12" s="2">
        <f t="shared" si="2"/>
        <v>-3.9992159656495004E-2</v>
      </c>
      <c r="J12" s="2">
        <f t="shared" si="2"/>
        <v>4.4500592034683525E-2</v>
      </c>
      <c r="K12" s="2">
        <f t="shared" si="2"/>
        <v>-3.7899482222534552E-2</v>
      </c>
      <c r="L12" s="2">
        <f t="shared" si="2"/>
        <v>0.20573862571863735</v>
      </c>
      <c r="M12" s="2">
        <f t="shared" si="2"/>
        <v>0.26580852259339005</v>
      </c>
      <c r="N12" s="2">
        <f t="shared" si="2"/>
        <v>7.3084257359452232E-2</v>
      </c>
      <c r="O12" s="2">
        <f t="shared" si="2"/>
        <v>-0.24098236040008189</v>
      </c>
      <c r="P12" s="2">
        <f t="shared" si="2"/>
        <v>-5.3570276364331031E-2</v>
      </c>
      <c r="V12" s="87"/>
    </row>
    <row r="13" spans="1:22" hidden="1" x14ac:dyDescent="0.45">
      <c r="A13" s="246" t="s">
        <v>226</v>
      </c>
      <c r="C13" s="247">
        <f>(C6-B6)/B6</f>
        <v>0.23379876287271059</v>
      </c>
      <c r="D13" s="2">
        <f t="shared" ref="D13:P13" si="3">(D6-C6)/C6</f>
        <v>9.7238388048428617E-2</v>
      </c>
      <c r="E13" s="2">
        <f t="shared" si="3"/>
        <v>-1.6229584306559526E-2</v>
      </c>
      <c r="F13" s="2">
        <f t="shared" si="3"/>
        <v>0.12292639228336573</v>
      </c>
      <c r="G13" s="2">
        <f t="shared" si="3"/>
        <v>0.55560228436810666</v>
      </c>
      <c r="H13" s="2">
        <f t="shared" si="3"/>
        <v>0.71541305171545899</v>
      </c>
      <c r="I13" s="2">
        <f t="shared" si="3"/>
        <v>-2.9713192763639283E-2</v>
      </c>
      <c r="J13" s="2">
        <f t="shared" si="3"/>
        <v>2.1043838962111712E-2</v>
      </c>
      <c r="K13" s="2">
        <f t="shared" si="3"/>
        <v>-4.3740493747292518E-2</v>
      </c>
      <c r="L13" s="2">
        <f t="shared" si="3"/>
        <v>-7.3214954924887846E-2</v>
      </c>
      <c r="M13" s="2">
        <f t="shared" si="3"/>
        <v>-0.46638174938687516</v>
      </c>
      <c r="N13" s="2">
        <f t="shared" si="3"/>
        <v>0.20841272247575066</v>
      </c>
      <c r="O13" s="2">
        <f t="shared" si="3"/>
        <v>0.15825929547422146</v>
      </c>
      <c r="P13" s="2">
        <f t="shared" si="3"/>
        <v>0.10955499237403439</v>
      </c>
      <c r="V13" s="87"/>
    </row>
    <row r="14" spans="1:22" hidden="1" x14ac:dyDescent="0.45">
      <c r="A14" s="9" t="s">
        <v>228</v>
      </c>
      <c r="C14" s="247">
        <f>(C7-B7)/B7</f>
        <v>0.22579740082491009</v>
      </c>
      <c r="D14" s="2">
        <f t="shared" ref="D14:P14" si="4">(D7-C7)/C7</f>
        <v>-6.7265582081995984E-2</v>
      </c>
      <c r="E14" s="2">
        <f t="shared" si="4"/>
        <v>0.13913305047154675</v>
      </c>
      <c r="F14" s="2">
        <f t="shared" si="4"/>
        <v>-3.6766780584061166E-2</v>
      </c>
      <c r="G14" s="2">
        <f t="shared" si="4"/>
        <v>-0.20051423149468531</v>
      </c>
      <c r="H14" s="2">
        <f t="shared" si="4"/>
        <v>-0.44839327527078904</v>
      </c>
      <c r="I14" s="2">
        <f t="shared" si="4"/>
        <v>-3.9992159656495073E-2</v>
      </c>
      <c r="J14" s="2">
        <f t="shared" si="4"/>
        <v>4.4500592034683532E-2</v>
      </c>
      <c r="K14" s="2">
        <f t="shared" si="4"/>
        <v>-3.7899482222534454E-2</v>
      </c>
      <c r="L14" s="2">
        <f t="shared" si="4"/>
        <v>0.2057386257186373</v>
      </c>
      <c r="M14" s="2">
        <f t="shared" si="4"/>
        <v>0.26580852259339005</v>
      </c>
      <c r="N14" s="2">
        <f t="shared" si="4"/>
        <v>7.3084257359452259E-2</v>
      </c>
      <c r="O14" s="2">
        <f t="shared" si="4"/>
        <v>-0.24098236040008189</v>
      </c>
      <c r="P14" s="2">
        <f t="shared" si="4"/>
        <v>-5.3570276364330975E-2</v>
      </c>
      <c r="V14" s="87"/>
    </row>
    <row r="15" spans="1:22" hidden="1" x14ac:dyDescent="0.45">
      <c r="A15" s="9" t="s">
        <v>229</v>
      </c>
      <c r="C15" s="247">
        <f>(C8-B8)/B8</f>
        <v>-0.41967565025126186</v>
      </c>
      <c r="D15" s="2">
        <f t="shared" ref="D15:P15" si="5">(D8-C8)/C8</f>
        <v>-0.79602985166250873</v>
      </c>
      <c r="E15" s="2">
        <f t="shared" si="5"/>
        <v>-0.79272044300645816</v>
      </c>
      <c r="F15" s="2">
        <f t="shared" si="5"/>
        <v>46.231900485695697</v>
      </c>
      <c r="G15" s="2">
        <f t="shared" si="5"/>
        <v>-0.70831561731971948</v>
      </c>
      <c r="H15" s="2">
        <f t="shared" si="5"/>
        <v>1.5294046707829303</v>
      </c>
      <c r="I15" s="2">
        <f t="shared" si="5"/>
        <v>-0.86652636821482443</v>
      </c>
      <c r="J15" s="2">
        <f t="shared" si="5"/>
        <v>-0.38581325584385612</v>
      </c>
      <c r="K15" s="2">
        <f t="shared" si="5"/>
        <v>13.167398837796554</v>
      </c>
      <c r="L15" s="2">
        <f t="shared" si="5"/>
        <v>-0.82296694840435969</v>
      </c>
      <c r="M15" s="2">
        <f t="shared" si="5"/>
        <v>0.21491933347258665</v>
      </c>
      <c r="N15" s="2">
        <f t="shared" si="5"/>
        <v>0.5821265344169283</v>
      </c>
      <c r="O15" s="2">
        <f t="shared" si="5"/>
        <v>0.34946777441457344</v>
      </c>
      <c r="P15" s="2">
        <f t="shared" si="5"/>
        <v>1.480512750369724</v>
      </c>
      <c r="V15" s="87"/>
    </row>
    <row r="16" spans="1:22" hidden="1" x14ac:dyDescent="0.45">
      <c r="A16" s="9" t="s">
        <v>227</v>
      </c>
      <c r="C16" s="247">
        <f>(C9-B9)/B9</f>
        <v>-0.32675411319481323</v>
      </c>
      <c r="D16" s="2">
        <f t="shared" ref="D16:P16" si="6">(D9-C9)/C9</f>
        <v>-1.4205767073891133</v>
      </c>
      <c r="E16" s="2">
        <f t="shared" si="6"/>
        <v>4.2783286866427792</v>
      </c>
      <c r="F16" s="2">
        <f t="shared" si="6"/>
        <v>-2.0591430956255552</v>
      </c>
      <c r="G16" s="2">
        <f t="shared" si="6"/>
        <v>-1.4738146118489175</v>
      </c>
      <c r="H16" s="2">
        <f t="shared" si="6"/>
        <v>-1.1411782544890645</v>
      </c>
      <c r="I16" s="2">
        <f t="shared" si="6"/>
        <v>-5.4567793046519686</v>
      </c>
      <c r="J16" s="2">
        <f t="shared" si="6"/>
        <v>2.6993156239559308</v>
      </c>
      <c r="K16" s="2">
        <f t="shared" si="6"/>
        <v>-0.66279497502314577</v>
      </c>
      <c r="L16" s="2">
        <f t="shared" si="6"/>
        <v>-0.21655804233623654</v>
      </c>
      <c r="M16" s="2">
        <f t="shared" si="6"/>
        <v>-0.74558868160537983</v>
      </c>
      <c r="N16" s="2">
        <f t="shared" si="6"/>
        <v>-1.5306674977625208</v>
      </c>
      <c r="O16" s="2">
        <f t="shared" si="6"/>
        <v>-14.375874897130313</v>
      </c>
      <c r="P16" s="2">
        <f t="shared" si="6"/>
        <v>-2.9575689084741357</v>
      </c>
      <c r="V16" s="87"/>
    </row>
    <row r="17" spans="1:22" hidden="1" x14ac:dyDescent="0.45">
      <c r="A17" s="9"/>
      <c r="V17" s="87"/>
    </row>
    <row r="18" spans="1:22" hidden="1" x14ac:dyDescent="0.45">
      <c r="A18" s="9"/>
      <c r="V18" s="87"/>
    </row>
    <row r="19" spans="1:22" x14ac:dyDescent="0.45">
      <c r="A19" s="175" t="s">
        <v>231</v>
      </c>
      <c r="V19" s="87"/>
    </row>
    <row r="20" spans="1:22" x14ac:dyDescent="0.45">
      <c r="A20" s="246" t="s">
        <v>225</v>
      </c>
      <c r="C20" s="2">
        <f>C5*$C12</f>
        <v>4676639.0760563184</v>
      </c>
      <c r="D20" s="2">
        <f t="shared" ref="D20:V20" si="7">D5*$C12</f>
        <v>4362062.226417982</v>
      </c>
      <c r="E20" s="2">
        <f t="shared" si="7"/>
        <v>4968969.2503262237</v>
      </c>
      <c r="F20" s="2">
        <f t="shared" si="7"/>
        <v>4786276.2481705323</v>
      </c>
      <c r="G20" s="2">
        <f t="shared" si="7"/>
        <v>3826559.7445473517</v>
      </c>
      <c r="R20" s="2">
        <f t="shared" si="7"/>
        <v>2050619.6354534235</v>
      </c>
      <c r="S20" s="2">
        <f t="shared" si="7"/>
        <v>1905871.1336563746</v>
      </c>
      <c r="T20" s="2">
        <f t="shared" si="7"/>
        <v>1805889.3800205884</v>
      </c>
      <c r="U20" s="2">
        <f t="shared" si="7"/>
        <v>1696218.3899865062</v>
      </c>
      <c r="V20" s="87">
        <f t="shared" si="7"/>
        <v>1576550.1543329796</v>
      </c>
    </row>
    <row r="21" spans="1:22" x14ac:dyDescent="0.45">
      <c r="A21" s="246" t="s">
        <v>226</v>
      </c>
      <c r="C21" s="2">
        <f>C6*$C13</f>
        <v>772789.27523990348</v>
      </c>
      <c r="D21" s="2">
        <f t="shared" ref="D21:G24" si="8">D6*$C13</f>
        <v>847934.05866534507</v>
      </c>
      <c r="E21" s="2">
        <f t="shared" si="8"/>
        <v>834172.44137383264</v>
      </c>
      <c r="F21" s="2">
        <f t="shared" si="8"/>
        <v>936714.25013412535</v>
      </c>
      <c r="G21" s="2">
        <f t="shared" si="8"/>
        <v>1457154.8273088036</v>
      </c>
      <c r="R21" s="2">
        <f>'Capital Requirements'!AM10+'Capital Requirements'!AM11</f>
        <v>450000</v>
      </c>
      <c r="S21" s="2">
        <f>'Capital Requirements'!AN10+'Capital Requirements'!AN11</f>
        <v>450000</v>
      </c>
      <c r="T21" s="2">
        <f>'Capital Requirements'!AO10+'Capital Requirements'!AO11</f>
        <v>450000</v>
      </c>
      <c r="U21" s="2">
        <f>'Capital Requirements'!AP10+'Capital Requirements'!AP11</f>
        <v>450000</v>
      </c>
      <c r="V21" s="87">
        <f>'Capital Requirements'!AQ10+'Capital Requirements'!AQ11</f>
        <v>450000</v>
      </c>
    </row>
    <row r="22" spans="1:22" x14ac:dyDescent="0.45">
      <c r="A22" s="9" t="s">
        <v>228</v>
      </c>
      <c r="C22" s="2">
        <f>C7*$C14</f>
        <v>1402991.7228168966</v>
      </c>
      <c r="D22" s="2">
        <f t="shared" si="8"/>
        <v>1308618.6679253955</v>
      </c>
      <c r="E22" s="2">
        <f t="shared" si="8"/>
        <v>1490690.7750978679</v>
      </c>
      <c r="F22" s="2">
        <f t="shared" si="8"/>
        <v>1435882.8744511607</v>
      </c>
      <c r="G22" s="2">
        <f t="shared" si="8"/>
        <v>1147967.9233642065</v>
      </c>
      <c r="R22" s="2">
        <f>R7*$C14</f>
        <v>615185.89063602744</v>
      </c>
      <c r="S22" s="2">
        <f>S7*$C14</f>
        <v>571761.34009691281</v>
      </c>
      <c r="T22" s="2">
        <f>T7*$C14</f>
        <v>541766.81400617689</v>
      </c>
      <c r="U22" s="2">
        <f>U7*$C14</f>
        <v>508865.51699595223</v>
      </c>
      <c r="V22" s="87">
        <f>V7*$C14</f>
        <v>472965.04629989422</v>
      </c>
    </row>
    <row r="23" spans="1:22" x14ac:dyDescent="0.45">
      <c r="A23" s="9" t="s">
        <v>258</v>
      </c>
      <c r="C23" s="2">
        <f>C8*$C15</f>
        <v>-6823855.8865297697</v>
      </c>
      <c r="D23" s="2">
        <f t="shared" si="8"/>
        <v>-1391862.8974091401</v>
      </c>
      <c r="E23" s="2">
        <f t="shared" si="8"/>
        <v>-288504.72477071418</v>
      </c>
      <c r="F23" s="2">
        <f t="shared" si="8"/>
        <v>-13626626.450023398</v>
      </c>
      <c r="G23" s="2">
        <f t="shared" si="8"/>
        <v>-3974674.1240898571</v>
      </c>
      <c r="R23" s="2">
        <v>0</v>
      </c>
      <c r="S23" s="2">
        <f>Expenses!S13</f>
        <v>1811009.807798872</v>
      </c>
      <c r="T23" s="2">
        <f>Expenses!T13</f>
        <v>1827196.1397631431</v>
      </c>
      <c r="U23" s="2">
        <f>Expenses!U13</f>
        <v>1843382.471727415</v>
      </c>
      <c r="V23" s="87">
        <f>Expenses!V13</f>
        <v>1859568.8036916864</v>
      </c>
    </row>
    <row r="24" spans="1:22" x14ac:dyDescent="0.45">
      <c r="A24" s="9" t="s">
        <v>227</v>
      </c>
      <c r="C24" s="2">
        <f>C9*$C16</f>
        <v>2777750.4758848138</v>
      </c>
      <c r="D24" s="2">
        <f t="shared" si="8"/>
        <v>-1168257.1490961774</v>
      </c>
      <c r="E24" s="2">
        <f t="shared" si="8"/>
        <v>-6166445.2234498635</v>
      </c>
      <c r="F24" s="2">
        <f t="shared" si="8"/>
        <v>6531147.8829701087</v>
      </c>
      <c r="G24" s="2">
        <f t="shared" si="8"/>
        <v>-3094553.2990973615</v>
      </c>
      <c r="R24" s="2">
        <f>R9*$C16</f>
        <v>-1275804.9878925881</v>
      </c>
      <c r="S24" s="2">
        <f>S9*$C16</f>
        <v>-387120.70679411938</v>
      </c>
      <c r="T24" s="2">
        <f>T9*$C16</f>
        <v>-469357.95549367281</v>
      </c>
      <c r="U24" s="2">
        <f>U9*$C16</f>
        <v>-618989.37180125818</v>
      </c>
      <c r="V24" s="87">
        <f>V9*$C16</f>
        <v>-921034.64362332376</v>
      </c>
    </row>
    <row r="25" spans="1:22" x14ac:dyDescent="0.45">
      <c r="A25" s="9" t="s">
        <v>232</v>
      </c>
      <c r="R25" s="2">
        <f>R20+R21-R22-R23-R24</f>
        <v>3161238.7327099843</v>
      </c>
      <c r="S25" s="2">
        <f>S20+S21-S22-S23-S24</f>
        <v>360220.69255470921</v>
      </c>
      <c r="T25" s="2">
        <f>T20+T21-T22-T23-T24</f>
        <v>356284.38174494152</v>
      </c>
      <c r="U25" s="2">
        <f>U20+U21-U22-U23-U24</f>
        <v>412959.77306439716</v>
      </c>
      <c r="V25" s="87">
        <f>V20+V21-V22-V23-V24</f>
        <v>615050.94796472264</v>
      </c>
    </row>
    <row r="26" spans="1:22" x14ac:dyDescent="0.45">
      <c r="A26" s="9"/>
      <c r="R26" s="2">
        <v>0</v>
      </c>
      <c r="S26" s="2">
        <v>1</v>
      </c>
      <c r="T26" s="2">
        <v>2</v>
      </c>
      <c r="U26" s="2">
        <v>3</v>
      </c>
      <c r="V26" s="2">
        <v>4</v>
      </c>
    </row>
    <row r="27" spans="1:22" x14ac:dyDescent="0.45">
      <c r="A27" s="9" t="s">
        <v>238</v>
      </c>
      <c r="R27" s="248">
        <f>(1+'CAP FS'!$P$65)^-(R26)</f>
        <v>1</v>
      </c>
      <c r="S27" s="248">
        <f>(1+'CAP FS'!$P$65)^-(S26)</f>
        <v>0.8970076432708195</v>
      </c>
      <c r="T27" s="248">
        <f>(1+'CAP FS'!$P$65)^-(T26)</f>
        <v>0.80462271208626968</v>
      </c>
      <c r="U27" s="248">
        <f>(1+'CAP FS'!$P$65)^-(U26)</f>
        <v>0.72175272269067992</v>
      </c>
      <c r="V27" s="249">
        <f>(1+'CAP FS'!$P$65)^-(V26)</f>
        <v>0.647417708805064</v>
      </c>
    </row>
    <row r="28" spans="1:22" x14ac:dyDescent="0.45">
      <c r="A28" s="9" t="s">
        <v>239</v>
      </c>
      <c r="R28" s="2">
        <f>R27*R25</f>
        <v>3161238.7327099843</v>
      </c>
      <c r="S28" s="2">
        <f>S27*S25</f>
        <v>323120.71448588214</v>
      </c>
      <c r="T28" s="2">
        <f>T27*T25</f>
        <v>286674.50551359466</v>
      </c>
      <c r="U28" s="2">
        <f>U27*U25</f>
        <v>298054.84057095397</v>
      </c>
      <c r="V28" s="87">
        <f>V27*V25</f>
        <v>398194.87552970339</v>
      </c>
    </row>
    <row r="29" spans="1:22" x14ac:dyDescent="0.45">
      <c r="A29" s="9"/>
      <c r="V29" s="87"/>
    </row>
    <row r="30" spans="1:22" x14ac:dyDescent="0.45">
      <c r="A30" s="9" t="s">
        <v>246</v>
      </c>
      <c r="R30" s="2">
        <f>Expenses!R13</f>
        <v>6444823.4758346006</v>
      </c>
      <c r="V30" s="87"/>
    </row>
    <row r="31" spans="1:22" x14ac:dyDescent="0.45">
      <c r="A31" s="9" t="s">
        <v>240</v>
      </c>
      <c r="V31" s="87">
        <f>V25*(1+'CAP FS'!Q44)/('CAP FS'!P65-'CAP FS'!Q44)</f>
        <v>10222446.777344914</v>
      </c>
    </row>
    <row r="32" spans="1:22" x14ac:dyDescent="0.45">
      <c r="A32" s="9" t="s">
        <v>241</v>
      </c>
      <c r="R32" s="2">
        <f>V31*V27</f>
        <v>6618193.0709703546</v>
      </c>
      <c r="V32" s="87"/>
    </row>
    <row r="33" spans="1:22" x14ac:dyDescent="0.45">
      <c r="A33" s="250" t="s">
        <v>243</v>
      </c>
      <c r="B33" s="251"/>
      <c r="C33" s="251"/>
      <c r="D33" s="251"/>
      <c r="E33" s="251"/>
      <c r="F33" s="251"/>
      <c r="G33" s="251"/>
      <c r="H33" s="251"/>
      <c r="I33" s="251"/>
      <c r="J33" s="251"/>
      <c r="K33" s="251"/>
      <c r="L33" s="251"/>
      <c r="M33" s="251"/>
      <c r="N33" s="251"/>
      <c r="O33" s="251"/>
      <c r="P33" s="251"/>
      <c r="R33" s="251">
        <f>R32+SUM(R28:V28)-R30</f>
        <v>4640653.2639458738</v>
      </c>
      <c r="V33" s="87"/>
    </row>
    <row r="34" spans="1:22" x14ac:dyDescent="0.45">
      <c r="A34" s="9"/>
      <c r="V34" s="87"/>
    </row>
    <row r="35" spans="1:22" x14ac:dyDescent="0.45">
      <c r="A35" s="9" t="s">
        <v>245</v>
      </c>
      <c r="R35" s="2">
        <f>-R30+R28</f>
        <v>-3283584.7431246163</v>
      </c>
      <c r="S35" s="2">
        <f>S28</f>
        <v>323120.71448588214</v>
      </c>
      <c r="T35" s="2">
        <f>T28</f>
        <v>286674.50551359466</v>
      </c>
      <c r="U35" s="2">
        <f>U28</f>
        <v>298054.84057095397</v>
      </c>
      <c r="V35" s="87">
        <f>V31+V28</f>
        <v>10620641.652874617</v>
      </c>
    </row>
    <row r="36" spans="1:22" x14ac:dyDescent="0.45">
      <c r="A36" s="250" t="s">
        <v>244</v>
      </c>
      <c r="B36" s="251"/>
      <c r="C36" s="251"/>
      <c r="D36" s="251"/>
      <c r="E36" s="251"/>
      <c r="F36" s="251"/>
      <c r="G36" s="251"/>
      <c r="H36" s="251"/>
      <c r="I36" s="251"/>
      <c r="J36" s="251"/>
      <c r="K36" s="251"/>
      <c r="L36" s="251"/>
      <c r="M36" s="251"/>
      <c r="N36" s="251"/>
      <c r="O36" s="251"/>
      <c r="P36" s="251"/>
      <c r="R36" s="252">
        <f>IRR(R35:V35)</f>
        <v>0.39611584679033718</v>
      </c>
      <c r="V36" s="87"/>
    </row>
    <row r="37" spans="1:22" x14ac:dyDescent="0.45">
      <c r="A37" s="9"/>
      <c r="V37" s="87"/>
    </row>
    <row r="38" spans="1:22" ht="15.4" x14ac:dyDescent="0.6">
      <c r="A38" s="253" t="s">
        <v>247</v>
      </c>
      <c r="B38" s="254"/>
      <c r="C38" s="254"/>
      <c r="D38" s="254"/>
      <c r="E38" s="254"/>
      <c r="F38" s="254"/>
      <c r="G38" s="254"/>
      <c r="H38" s="254"/>
      <c r="I38" s="254"/>
      <c r="J38" s="254"/>
      <c r="K38" s="254"/>
      <c r="L38" s="254"/>
      <c r="M38" s="254"/>
      <c r="N38" s="254"/>
      <c r="O38" s="254"/>
      <c r="P38" s="254"/>
      <c r="Q38" s="254"/>
      <c r="R38" s="255">
        <f>R33/R30</f>
        <v>0.72005901811684803</v>
      </c>
      <c r="V38" s="87"/>
    </row>
    <row r="39" spans="1:22" x14ac:dyDescent="0.45">
      <c r="A39" s="9"/>
      <c r="V39" s="87"/>
    </row>
    <row r="40" spans="1:22" x14ac:dyDescent="0.45">
      <c r="A40" s="9" t="s">
        <v>248</v>
      </c>
      <c r="V40" s="87"/>
    </row>
    <row r="41" spans="1:22" x14ac:dyDescent="0.45">
      <c r="A41" s="9" t="s">
        <v>245</v>
      </c>
      <c r="R41" s="256">
        <f>R3</f>
        <v>2025</v>
      </c>
      <c r="S41" s="256">
        <f>S3</f>
        <v>2026</v>
      </c>
      <c r="T41" s="256">
        <f>T3</f>
        <v>2027</v>
      </c>
      <c r="U41" s="256">
        <f>U3</f>
        <v>2028</v>
      </c>
      <c r="V41" s="257">
        <f>V3</f>
        <v>2029</v>
      </c>
    </row>
    <row r="42" spans="1:22" x14ac:dyDescent="0.45">
      <c r="A42" s="9" t="str">
        <f>A28</f>
        <v>Flux de tresorerie nets actualises</v>
      </c>
      <c r="R42" s="2">
        <f>R28</f>
        <v>3161238.7327099843</v>
      </c>
      <c r="S42" s="2">
        <f>S28</f>
        <v>323120.71448588214</v>
      </c>
      <c r="T42" s="2">
        <f>T28</f>
        <v>286674.50551359466</v>
      </c>
      <c r="U42" s="2">
        <f>U28</f>
        <v>298054.84057095397</v>
      </c>
      <c r="V42" s="87">
        <f>V28</f>
        <v>398194.87552970339</v>
      </c>
    </row>
    <row r="43" spans="1:22" x14ac:dyDescent="0.45">
      <c r="A43" s="9" t="s">
        <v>249</v>
      </c>
      <c r="R43" s="2">
        <f>-R30</f>
        <v>-6444823.4758346006</v>
      </c>
      <c r="S43" s="2">
        <f>-S30</f>
        <v>0</v>
      </c>
      <c r="T43" s="2">
        <f>-T30</f>
        <v>0</v>
      </c>
      <c r="U43" s="2">
        <f>-U30</f>
        <v>0</v>
      </c>
      <c r="V43" s="87">
        <f>-V30</f>
        <v>0</v>
      </c>
    </row>
    <row r="44" spans="1:22" x14ac:dyDescent="0.45">
      <c r="A44" s="9" t="s">
        <v>250</v>
      </c>
      <c r="V44" s="87">
        <f>V31</f>
        <v>10222446.777344914</v>
      </c>
    </row>
    <row r="45" spans="1:22" x14ac:dyDescent="0.45">
      <c r="A45" s="9" t="s">
        <v>251</v>
      </c>
      <c r="R45" s="2">
        <f>SUM(R42:R44)*R27</f>
        <v>-3283584.7431246163</v>
      </c>
      <c r="S45" s="2">
        <f>SUM(S42:S44)*S27</f>
        <v>289841.75059296447</v>
      </c>
      <c r="T45" s="2">
        <f>SUM(T42:T44)*T27</f>
        <v>230664.81811233881</v>
      </c>
      <c r="U45" s="2">
        <f>SUM(U42:U44)*U27</f>
        <v>215121.89269322256</v>
      </c>
      <c r="V45" s="87">
        <f>SUM(V42:V44)*V27</f>
        <v>6875991.4849437121</v>
      </c>
    </row>
    <row r="46" spans="1:22" x14ac:dyDescent="0.45">
      <c r="A46" s="9" t="s">
        <v>252</v>
      </c>
      <c r="R46" s="2">
        <f>R45</f>
        <v>-3283584.7431246163</v>
      </c>
      <c r="S46" s="2">
        <f>R45+S45</f>
        <v>-2993742.9925316516</v>
      </c>
      <c r="T46" s="2">
        <f>S45+T45</f>
        <v>520506.56870530325</v>
      </c>
      <c r="U46" s="2">
        <f>T45+U45</f>
        <v>445786.71080556139</v>
      </c>
      <c r="V46" s="87">
        <f>U45+V45</f>
        <v>7091113.3776369346</v>
      </c>
    </row>
    <row r="47" spans="1:22" x14ac:dyDescent="0.45">
      <c r="A47" s="9"/>
      <c r="V47" s="87"/>
    </row>
    <row r="48" spans="1:22" ht="15.4" x14ac:dyDescent="0.6">
      <c r="A48" s="253" t="s">
        <v>248</v>
      </c>
      <c r="B48" s="254"/>
      <c r="C48" s="254"/>
      <c r="D48" s="254"/>
      <c r="E48" s="254"/>
      <c r="F48" s="254"/>
      <c r="G48" s="254"/>
      <c r="H48" s="254"/>
      <c r="I48" s="254"/>
      <c r="J48" s="254"/>
      <c r="K48" s="254"/>
      <c r="L48" s="254"/>
      <c r="M48" s="254"/>
      <c r="N48" s="254"/>
      <c r="O48" s="254"/>
      <c r="P48" s="254"/>
      <c r="Q48" s="254"/>
      <c r="R48" s="254">
        <f>(3-2)*(-S46)/(T46-S46)+2</f>
        <v>2.85188685105161</v>
      </c>
      <c r="S48" s="254" t="s">
        <v>253</v>
      </c>
      <c r="T48" s="254" t="s">
        <v>254</v>
      </c>
      <c r="V48" s="87"/>
    </row>
    <row r="49" spans="1:24" ht="15.75" thickBot="1" x14ac:dyDescent="0.65">
      <c r="A49" s="258"/>
      <c r="B49" s="259"/>
      <c r="C49" s="259"/>
      <c r="D49" s="259"/>
      <c r="E49" s="259"/>
      <c r="F49" s="259"/>
      <c r="G49" s="259"/>
      <c r="H49" s="259"/>
      <c r="I49" s="259"/>
      <c r="J49" s="259"/>
      <c r="K49" s="259"/>
      <c r="L49" s="259"/>
      <c r="M49" s="259"/>
      <c r="N49" s="259"/>
      <c r="O49" s="259"/>
      <c r="P49" s="259"/>
      <c r="Q49" s="259"/>
      <c r="R49" s="259"/>
      <c r="S49" s="260">
        <v>2</v>
      </c>
      <c r="T49" s="260">
        <f>(R48-S49)*12</f>
        <v>10.22264221261932</v>
      </c>
      <c r="U49" s="261"/>
      <c r="V49" s="262"/>
    </row>
    <row r="50" spans="1:24" ht="14.65" thickBot="1" x14ac:dyDescent="0.5"/>
    <row r="51" spans="1:24" x14ac:dyDescent="0.45">
      <c r="A51" s="23" t="s">
        <v>256</v>
      </c>
      <c r="B51" s="185"/>
      <c r="C51" s="185"/>
      <c r="D51" s="185"/>
      <c r="E51" s="185"/>
      <c r="F51" s="185"/>
      <c r="G51" s="185"/>
      <c r="H51" s="185"/>
      <c r="I51" s="185"/>
      <c r="J51" s="185"/>
      <c r="K51" s="185"/>
      <c r="L51" s="185"/>
      <c r="M51" s="185"/>
      <c r="N51" s="185"/>
      <c r="O51" s="185"/>
      <c r="P51" s="185"/>
      <c r="Q51" s="185"/>
      <c r="R51" s="185"/>
      <c r="S51" s="185"/>
      <c r="T51" s="185"/>
      <c r="U51" s="185"/>
      <c r="V51" s="186"/>
      <c r="X51" s="2" t="s">
        <v>257</v>
      </c>
    </row>
    <row r="52" spans="1:24" x14ac:dyDescent="0.45">
      <c r="A52" s="175"/>
      <c r="V52" s="87"/>
    </row>
    <row r="53" spans="1:24" x14ac:dyDescent="0.45">
      <c r="A53" s="246" t="s">
        <v>225</v>
      </c>
      <c r="R53" s="2">
        <f>'Revenue and Margins'!R37</f>
        <v>18506476.940619778</v>
      </c>
      <c r="S53" s="2">
        <f>'Revenue and Margins'!S37</f>
        <v>22112539.596611276</v>
      </c>
      <c r="T53" s="2">
        <f>'Revenue and Margins'!T37</f>
        <v>22761801.081656218</v>
      </c>
      <c r="U53" s="2">
        <f>'Revenue and Margins'!U37</f>
        <v>23476918.02811018</v>
      </c>
      <c r="V53" s="87">
        <f>'Revenue and Margins'!V37</f>
        <v>24265830.33682223</v>
      </c>
      <c r="X53" s="2">
        <f>('Revenue and Margins'!R37+'Revenue and Margins'!R16-'Revenue and Margins'!Q63)/'Revenue and Margins'!Q63</f>
        <v>0.29698047565580565</v>
      </c>
    </row>
    <row r="54" spans="1:24" x14ac:dyDescent="0.45">
      <c r="A54" s="246" t="s">
        <v>226</v>
      </c>
      <c r="R54" s="2">
        <f>'Capital Requirements'!AM8-(Expenses!$R$37+Expenses!$R$42+Expenses!$R$43)/5</f>
        <v>1677011</v>
      </c>
      <c r="S54" s="2">
        <f>'Capital Requirements'!AN8-(Expenses!$R$37+Expenses!$R$42+Expenses!$R$43)/5</f>
        <v>1677011</v>
      </c>
      <c r="T54" s="2">
        <f>'Capital Requirements'!AO8-(Expenses!$R$37+Expenses!$R$42+Expenses!$R$43)/5</f>
        <v>1677011</v>
      </c>
      <c r="U54" s="2">
        <f>'Capital Requirements'!AP8-(Expenses!$R$37+Expenses!$R$42+Expenses!$R$43)/5</f>
        <v>1677011</v>
      </c>
      <c r="V54" s="2">
        <f>'Capital Requirements'!AQ8-(Expenses!$R$37+Expenses!$R$42+Expenses!$R$43)/5</f>
        <v>1677011</v>
      </c>
    </row>
    <row r="55" spans="1:24" x14ac:dyDescent="0.45">
      <c r="A55" s="9" t="s">
        <v>228</v>
      </c>
      <c r="R55" s="2">
        <f>0.3*R53</f>
        <v>5551943.0821859334</v>
      </c>
      <c r="S55" s="2">
        <f>0.3*S53</f>
        <v>6633761.8789833831</v>
      </c>
      <c r="T55" s="2">
        <f>0.3*T53</f>
        <v>6828540.3244968653</v>
      </c>
      <c r="U55" s="2">
        <f>0.3*U53</f>
        <v>7043075.4084330536</v>
      </c>
      <c r="V55" s="87">
        <f>0.3*V53</f>
        <v>7279749.1010466693</v>
      </c>
    </row>
    <row r="56" spans="1:24" x14ac:dyDescent="0.45">
      <c r="A56" s="9" t="s">
        <v>258</v>
      </c>
      <c r="R56" s="2">
        <v>0</v>
      </c>
      <c r="S56" s="2">
        <v>0</v>
      </c>
      <c r="T56" s="2">
        <v>0</v>
      </c>
      <c r="U56" s="2">
        <v>0</v>
      </c>
      <c r="V56" s="87">
        <v>0</v>
      </c>
    </row>
    <row r="57" spans="1:24" x14ac:dyDescent="0.45">
      <c r="A57" s="9" t="s">
        <v>227</v>
      </c>
      <c r="R57" s="2">
        <f>$X$53*R9</f>
        <v>1159554.4075752571</v>
      </c>
      <c r="S57" s="2">
        <f>$X$53*S9</f>
        <v>351846.50168851856</v>
      </c>
      <c r="T57" s="2">
        <f>$X$53*T9</f>
        <v>426590.34193164681</v>
      </c>
      <c r="U57" s="2">
        <f>$X$53*U9</f>
        <v>562587.4339149528</v>
      </c>
      <c r="V57" s="87">
        <f>$X$53*V9</f>
        <v>837110.52290763333</v>
      </c>
    </row>
    <row r="58" spans="1:24" x14ac:dyDescent="0.45">
      <c r="A58" s="9" t="s">
        <v>232</v>
      </c>
      <c r="R58" s="2">
        <f>R53+R54-R55-R57</f>
        <v>13471990.450858587</v>
      </c>
      <c r="S58" s="2">
        <f>S53+S54-S55-S57</f>
        <v>16803942.215939377</v>
      </c>
      <c r="T58" s="2">
        <f>T53+T54-T55-T57</f>
        <v>17183681.415227704</v>
      </c>
      <c r="U58" s="2">
        <f>U53+U54-U55-U57</f>
        <v>17548266.185762174</v>
      </c>
      <c r="V58" s="87">
        <f>V53+V54-V55-V57</f>
        <v>17825981.712867927</v>
      </c>
    </row>
    <row r="59" spans="1:24" x14ac:dyDescent="0.45">
      <c r="A59" s="9" t="s">
        <v>238</v>
      </c>
      <c r="R59" s="263">
        <f>R27</f>
        <v>1</v>
      </c>
      <c r="S59" s="263">
        <f>S27</f>
        <v>0.8970076432708195</v>
      </c>
      <c r="T59" s="263">
        <f>T27</f>
        <v>0.80462271208626968</v>
      </c>
      <c r="U59" s="263">
        <f>U27</f>
        <v>0.72175272269067992</v>
      </c>
      <c r="V59" s="264">
        <f>V27</f>
        <v>0.647417708805064</v>
      </c>
    </row>
    <row r="60" spans="1:24" x14ac:dyDescent="0.45">
      <c r="A60" s="9" t="s">
        <v>239</v>
      </c>
      <c r="R60" s="2">
        <f>R59*R58</f>
        <v>13471990.450858587</v>
      </c>
      <c r="S60" s="2">
        <f>S59*S58</f>
        <v>15073264.604778813</v>
      </c>
      <c r="T60" s="2">
        <f>T59*T58</f>
        <v>13826380.343946943</v>
      </c>
      <c r="U60" s="2">
        <f>U59*U58</f>
        <v>12665508.898074642</v>
      </c>
      <c r="V60" s="87">
        <f>V59*V58</f>
        <v>11540856.237745924</v>
      </c>
    </row>
    <row r="61" spans="1:24" x14ac:dyDescent="0.45">
      <c r="A61" s="9"/>
      <c r="V61" s="87"/>
    </row>
    <row r="62" spans="1:24" x14ac:dyDescent="0.45">
      <c r="A62" s="9" t="s">
        <v>246</v>
      </c>
      <c r="R62" s="2">
        <f>'Capital Requirements'!R8</f>
        <v>38800220</v>
      </c>
      <c r="S62" s="2">
        <f>'Capital Requirements'!S9</f>
        <v>62969500</v>
      </c>
      <c r="V62" s="87"/>
    </row>
    <row r="63" spans="1:24" x14ac:dyDescent="0.45">
      <c r="A63" s="9" t="s">
        <v>240</v>
      </c>
      <c r="V63" s="87">
        <f>V58*(1+'CAP FS'!$Q$44)/('CAP FS'!$P$65-'CAP FS'!$Q$44)</f>
        <v>296276511.5909844</v>
      </c>
    </row>
    <row r="64" spans="1:24" x14ac:dyDescent="0.45">
      <c r="A64" s="9" t="s">
        <v>241</v>
      </c>
      <c r="R64" s="2">
        <f>V63*V59</f>
        <v>191814660.30699211</v>
      </c>
      <c r="V64" s="87"/>
    </row>
    <row r="65" spans="1:22" x14ac:dyDescent="0.45">
      <c r="A65" s="9"/>
      <c r="V65" s="87"/>
    </row>
    <row r="66" spans="1:22" ht="15.4" x14ac:dyDescent="0.6">
      <c r="A66" s="253" t="s">
        <v>243</v>
      </c>
      <c r="B66" s="254"/>
      <c r="C66" s="254"/>
      <c r="D66" s="254"/>
      <c r="E66" s="254"/>
      <c r="F66" s="254"/>
      <c r="G66" s="254"/>
      <c r="H66" s="254"/>
      <c r="I66" s="254"/>
      <c r="J66" s="254"/>
      <c r="K66" s="254"/>
      <c r="L66" s="254"/>
      <c r="M66" s="254"/>
      <c r="N66" s="254"/>
      <c r="O66" s="254"/>
      <c r="P66" s="254"/>
      <c r="Q66" s="254"/>
      <c r="R66" s="254">
        <f>R64+SUM(R60:V60)-R62-S62*S59</f>
        <v>163108318.04945517</v>
      </c>
      <c r="V66" s="87"/>
    </row>
    <row r="67" spans="1:22" ht="15.4" x14ac:dyDescent="0.6">
      <c r="A67" s="253"/>
      <c r="B67" s="254"/>
      <c r="C67" s="254"/>
      <c r="D67" s="254"/>
      <c r="E67" s="254"/>
      <c r="F67" s="254"/>
      <c r="G67" s="254"/>
      <c r="H67" s="254"/>
      <c r="I67" s="254"/>
      <c r="J67" s="254"/>
      <c r="K67" s="254"/>
      <c r="L67" s="254"/>
      <c r="M67" s="254"/>
      <c r="N67" s="254"/>
      <c r="O67" s="254"/>
      <c r="P67" s="254"/>
      <c r="Q67" s="254"/>
      <c r="R67" s="254"/>
      <c r="V67" s="87"/>
    </row>
    <row r="68" spans="1:22" x14ac:dyDescent="0.45">
      <c r="A68" s="9" t="s">
        <v>245</v>
      </c>
      <c r="R68" s="2">
        <f>-R62+R60</f>
        <v>-25328229.549141414</v>
      </c>
      <c r="S68" s="2">
        <f>S60-S62</f>
        <v>-47896235.395221189</v>
      </c>
      <c r="T68" s="2">
        <f>T60</f>
        <v>13826380.343946943</v>
      </c>
      <c r="U68" s="2">
        <f>U60</f>
        <v>12665508.898074642</v>
      </c>
      <c r="V68" s="87">
        <f>V60+V63</f>
        <v>307817367.82873034</v>
      </c>
    </row>
    <row r="69" spans="1:22" ht="15.4" x14ac:dyDescent="0.6">
      <c r="A69" s="253" t="s">
        <v>244</v>
      </c>
      <c r="B69" s="254"/>
      <c r="C69" s="254"/>
      <c r="D69" s="254"/>
      <c r="E69" s="254"/>
      <c r="F69" s="254"/>
      <c r="G69" s="254"/>
      <c r="H69" s="254"/>
      <c r="I69" s="254"/>
      <c r="J69" s="254"/>
      <c r="K69" s="254"/>
      <c r="L69" s="254"/>
      <c r="M69" s="254"/>
      <c r="N69" s="254"/>
      <c r="O69" s="254"/>
      <c r="P69" s="254"/>
      <c r="Q69" s="254"/>
      <c r="R69" s="265">
        <f>IRR(R68:V68)</f>
        <v>0.60179320001099512</v>
      </c>
      <c r="V69" s="87"/>
    </row>
    <row r="70" spans="1:22" x14ac:dyDescent="0.45">
      <c r="A70" s="9"/>
      <c r="V70" s="87"/>
    </row>
    <row r="71" spans="1:22" ht="15.4" x14ac:dyDescent="0.6">
      <c r="A71" s="253" t="s">
        <v>247</v>
      </c>
      <c r="B71" s="254"/>
      <c r="C71" s="254"/>
      <c r="D71" s="254"/>
      <c r="E71" s="254"/>
      <c r="F71" s="254"/>
      <c r="G71" s="254"/>
      <c r="H71" s="254"/>
      <c r="I71" s="254"/>
      <c r="J71" s="254"/>
      <c r="K71" s="254"/>
      <c r="L71" s="254"/>
      <c r="M71" s="254"/>
      <c r="N71" s="254"/>
      <c r="O71" s="254"/>
      <c r="P71" s="254"/>
      <c r="Q71" s="254"/>
      <c r="R71" s="255">
        <f>R66/(R62+S62*S59)</f>
        <v>1.7118060876370689</v>
      </c>
      <c r="V71" s="87"/>
    </row>
    <row r="72" spans="1:22" x14ac:dyDescent="0.45">
      <c r="A72" s="9"/>
      <c r="V72" s="87"/>
    </row>
    <row r="73" spans="1:22" x14ac:dyDescent="0.45">
      <c r="A73" s="9" t="s">
        <v>248</v>
      </c>
      <c r="V73" s="87"/>
    </row>
    <row r="74" spans="1:22" x14ac:dyDescent="0.45">
      <c r="A74" s="9" t="s">
        <v>245</v>
      </c>
      <c r="V74" s="87"/>
    </row>
    <row r="75" spans="1:22" x14ac:dyDescent="0.45">
      <c r="A75" s="9" t="str">
        <f>A60</f>
        <v>Flux de tresorerie nets actualises</v>
      </c>
      <c r="R75" s="2">
        <f>R60</f>
        <v>13471990.450858587</v>
      </c>
      <c r="S75" s="2">
        <f>S60</f>
        <v>15073264.604778813</v>
      </c>
      <c r="T75" s="2">
        <f>T60</f>
        <v>13826380.343946943</v>
      </c>
      <c r="U75" s="2">
        <f>U60</f>
        <v>12665508.898074642</v>
      </c>
      <c r="V75" s="87">
        <f>V60</f>
        <v>11540856.237745924</v>
      </c>
    </row>
    <row r="76" spans="1:22" x14ac:dyDescent="0.45">
      <c r="A76" s="9" t="s">
        <v>249</v>
      </c>
      <c r="R76" s="2">
        <f>-R62</f>
        <v>-38800220</v>
      </c>
      <c r="S76" s="2">
        <f>-S62</f>
        <v>-62969500</v>
      </c>
      <c r="T76" s="2">
        <f>-T62</f>
        <v>0</v>
      </c>
      <c r="U76" s="2">
        <f>-U62</f>
        <v>0</v>
      </c>
      <c r="V76" s="87">
        <f>-V62</f>
        <v>0</v>
      </c>
    </row>
    <row r="77" spans="1:22" x14ac:dyDescent="0.45">
      <c r="A77" s="9" t="s">
        <v>250</v>
      </c>
      <c r="R77" s="2">
        <f>R63</f>
        <v>0</v>
      </c>
      <c r="S77" s="2">
        <f>S63</f>
        <v>0</v>
      </c>
      <c r="T77" s="2">
        <f>T63</f>
        <v>0</v>
      </c>
      <c r="U77" s="2">
        <f>U63</f>
        <v>0</v>
      </c>
      <c r="V77" s="87">
        <f>V63</f>
        <v>296276511.5909844</v>
      </c>
    </row>
    <row r="78" spans="1:22" x14ac:dyDescent="0.45">
      <c r="A78" s="9" t="s">
        <v>251</v>
      </c>
      <c r="R78" s="2">
        <f>R75+R76*R59+R77*R59</f>
        <v>-25328229.549141414</v>
      </c>
      <c r="S78" s="2">
        <f>S75+S76*S59+S77*S59</f>
        <v>-41410858.188163057</v>
      </c>
      <c r="T78" s="2">
        <f>T75+T76*T59+T77*T59</f>
        <v>13826380.343946943</v>
      </c>
      <c r="U78" s="2">
        <f>U75+U76*U59+U77*U59</f>
        <v>12665508.898074642</v>
      </c>
      <c r="V78" s="87">
        <f>V75+V76*V59+V77*V59</f>
        <v>203355516.54473802</v>
      </c>
    </row>
    <row r="79" spans="1:22" x14ac:dyDescent="0.45">
      <c r="A79" s="9" t="s">
        <v>252</v>
      </c>
      <c r="R79" s="2">
        <f>R78</f>
        <v>-25328229.549141414</v>
      </c>
      <c r="S79" s="2">
        <f>R79+S78</f>
        <v>-66739087.737304471</v>
      </c>
      <c r="T79" s="2">
        <f>S79+T78</f>
        <v>-52912707.39335753</v>
      </c>
      <c r="U79" s="2">
        <f>T79+U78</f>
        <v>-40247198.495282888</v>
      </c>
      <c r="V79" s="87">
        <f>U79+V78</f>
        <v>163108318.04945514</v>
      </c>
    </row>
    <row r="80" spans="1:22" x14ac:dyDescent="0.45">
      <c r="A80" s="9"/>
      <c r="V80" s="87"/>
    </row>
    <row r="81" spans="1:24" ht="15.4" x14ac:dyDescent="0.6">
      <c r="A81" s="253" t="s">
        <v>248</v>
      </c>
      <c r="B81" s="254"/>
      <c r="C81" s="254"/>
      <c r="D81" s="254"/>
      <c r="E81" s="254"/>
      <c r="F81" s="254"/>
      <c r="G81" s="254"/>
      <c r="H81" s="254"/>
      <c r="I81" s="254"/>
      <c r="J81" s="254"/>
      <c r="K81" s="254"/>
      <c r="L81" s="254"/>
      <c r="M81" s="254"/>
      <c r="N81" s="254"/>
      <c r="O81" s="254"/>
      <c r="P81" s="254"/>
      <c r="Q81" s="254"/>
      <c r="R81" s="254">
        <f>(5-4)*(-U79)/(V79-U79)+4</f>
        <v>4.1979154496476543</v>
      </c>
      <c r="S81" s="254" t="s">
        <v>253</v>
      </c>
      <c r="T81" s="254" t="s">
        <v>254</v>
      </c>
      <c r="U81" s="254" t="s">
        <v>255</v>
      </c>
      <c r="V81" s="87"/>
    </row>
    <row r="82" spans="1:24" ht="15.75" thickBot="1" x14ac:dyDescent="0.65">
      <c r="A82" s="258"/>
      <c r="B82" s="259"/>
      <c r="C82" s="259"/>
      <c r="D82" s="259"/>
      <c r="E82" s="259"/>
      <c r="F82" s="259"/>
      <c r="G82" s="259"/>
      <c r="H82" s="259"/>
      <c r="I82" s="259"/>
      <c r="J82" s="259"/>
      <c r="K82" s="259"/>
      <c r="L82" s="259"/>
      <c r="M82" s="259"/>
      <c r="N82" s="259"/>
      <c r="O82" s="259"/>
      <c r="P82" s="259"/>
      <c r="Q82" s="259"/>
      <c r="R82" s="259"/>
      <c r="S82" s="260">
        <f>INT(R81)</f>
        <v>4</v>
      </c>
      <c r="T82" s="260">
        <f>(R81-S82)*12</f>
        <v>2.3749853957718514</v>
      </c>
      <c r="U82" s="259">
        <f>(R81-S82)*360</f>
        <v>71.249561873155542</v>
      </c>
      <c r="V82" s="262"/>
    </row>
    <row r="83" spans="1:24" ht="14.65" thickBot="1" x14ac:dyDescent="0.5"/>
    <row r="84" spans="1:24" x14ac:dyDescent="0.45">
      <c r="A84" s="23" t="s">
        <v>259</v>
      </c>
      <c r="X84" s="2" t="s">
        <v>260</v>
      </c>
    </row>
    <row r="85" spans="1:24" x14ac:dyDescent="0.45">
      <c r="A85" s="246" t="s">
        <v>225</v>
      </c>
      <c r="R85" s="2">
        <f>R5*$X$85</f>
        <v>863833.16857986839</v>
      </c>
      <c r="S85" s="2">
        <f>S5*$X$85</f>
        <v>802857.18122817925</v>
      </c>
      <c r="T85" s="2">
        <f>T5*$X$85</f>
        <v>760739.39714469865</v>
      </c>
      <c r="U85" s="2">
        <f>U5*$X$85</f>
        <v>714539.97664539935</v>
      </c>
      <c r="V85" s="2">
        <f>V5*$X$85</f>
        <v>664129.1693968426</v>
      </c>
      <c r="X85" s="2">
        <f>ABS((('Revenue and Margins'!R51+'Revenue and Margins'!R16)-'Revenue and Margins'!P64)/'Revenue and Margins'!P64)</f>
        <v>9.5118217361920318E-2</v>
      </c>
    </row>
    <row r="86" spans="1:24" x14ac:dyDescent="0.45">
      <c r="A86" s="246" t="s">
        <v>226</v>
      </c>
      <c r="R86" s="2">
        <f>(Expenses!$R$37+Expenses!$R$42+Expenses!$R$43)/5</f>
        <v>1052000</v>
      </c>
      <c r="S86" s="2">
        <f>(Expenses!$R$37+Expenses!$R$42+Expenses!$R$43)/5</f>
        <v>1052000</v>
      </c>
      <c r="T86" s="2">
        <f>(Expenses!$R$37+Expenses!$R$42+Expenses!$R$43)/5</f>
        <v>1052000</v>
      </c>
      <c r="U86" s="2">
        <f>(Expenses!$R$37+Expenses!$R$42+Expenses!$R$43)/5</f>
        <v>1052000</v>
      </c>
      <c r="V86" s="2">
        <f>(Expenses!$R$37+Expenses!$R$42+Expenses!$R$43)/5</f>
        <v>1052000</v>
      </c>
    </row>
    <row r="87" spans="1:24" x14ac:dyDescent="0.45">
      <c r="A87" s="9" t="s">
        <v>228</v>
      </c>
      <c r="R87" s="2">
        <f>0.3*R85</f>
        <v>259149.95057396049</v>
      </c>
      <c r="S87" s="2">
        <f>0.3*S85</f>
        <v>240857.15436845378</v>
      </c>
      <c r="T87" s="2">
        <f>0.3*T85</f>
        <v>228221.81914340958</v>
      </c>
      <c r="U87" s="2">
        <f>0.3*U85</f>
        <v>214361.99299361979</v>
      </c>
      <c r="V87" s="2">
        <f>0.3*V85</f>
        <v>199238.75081905277</v>
      </c>
    </row>
    <row r="88" spans="1:24" x14ac:dyDescent="0.45">
      <c r="A88" s="9" t="s">
        <v>258</v>
      </c>
      <c r="R88" s="2">
        <v>0</v>
      </c>
      <c r="S88" s="2">
        <f>Expenses!S46</f>
        <v>3000</v>
      </c>
      <c r="T88" s="2">
        <f>Expenses!T46</f>
        <v>2000</v>
      </c>
      <c r="U88" s="2">
        <f>Expenses!U46</f>
        <v>2000</v>
      </c>
      <c r="V88" s="2">
        <f>Expenses!V46</f>
        <v>0</v>
      </c>
    </row>
    <row r="89" spans="1:24" x14ac:dyDescent="0.45">
      <c r="A89" s="9" t="s">
        <v>227</v>
      </c>
      <c r="R89" s="2">
        <f>$X$85*R9</f>
        <v>371387.20294375659</v>
      </c>
      <c r="S89" s="2">
        <f>$X$85*S9</f>
        <v>112690.95031158668</v>
      </c>
      <c r="T89" s="2">
        <f>$X$85*T9</f>
        <v>136630.23732030671</v>
      </c>
      <c r="U89" s="2">
        <f>$X$85*U9</f>
        <v>180187.98611605415</v>
      </c>
      <c r="V89" s="2">
        <f>$X$85*V9</f>
        <v>268113.45256973116</v>
      </c>
    </row>
    <row r="90" spans="1:24" x14ac:dyDescent="0.45">
      <c r="A90" s="9" t="s">
        <v>232</v>
      </c>
      <c r="R90" s="2">
        <f>R85+R86-R87-R88-R89</f>
        <v>1285296.0150621515</v>
      </c>
      <c r="S90" s="2">
        <f>S85+S86-S87-S88-S89</f>
        <v>1498309.0765481386</v>
      </c>
      <c r="T90" s="2">
        <f>T85+T86-T87-T88-T89</f>
        <v>1445887.3406809822</v>
      </c>
      <c r="U90" s="2">
        <f>U85+U86-U87-U88-U89</f>
        <v>1369989.9975357254</v>
      </c>
      <c r="V90" s="2">
        <f>V85+V86-V87-V88-V89</f>
        <v>1248776.9660080587</v>
      </c>
    </row>
    <row r="91" spans="1:24" x14ac:dyDescent="0.45">
      <c r="A91" s="9" t="s">
        <v>238</v>
      </c>
      <c r="R91" s="2">
        <f>R59</f>
        <v>1</v>
      </c>
      <c r="S91" s="2">
        <f>S59</f>
        <v>0.8970076432708195</v>
      </c>
      <c r="T91" s="2">
        <f>T59</f>
        <v>0.80462271208626968</v>
      </c>
      <c r="U91" s="2">
        <f>U59</f>
        <v>0.72175272269067992</v>
      </c>
      <c r="V91" s="2">
        <f>V59</f>
        <v>0.647417708805064</v>
      </c>
    </row>
    <row r="92" spans="1:24" x14ac:dyDescent="0.45">
      <c r="A92" s="9" t="s">
        <v>239</v>
      </c>
      <c r="R92" s="2">
        <f>R90*R91</f>
        <v>1285296.0150621515</v>
      </c>
      <c r="S92" s="2">
        <f>S90*S91</f>
        <v>1343994.6936457236</v>
      </c>
      <c r="T92" s="2">
        <f>T90*T91</f>
        <v>1163393.793429936</v>
      </c>
      <c r="U92" s="2">
        <f>U90*U91</f>
        <v>988794.0107804077</v>
      </c>
      <c r="V92" s="2">
        <f>V90*V91</f>
        <v>808480.32214147667</v>
      </c>
    </row>
    <row r="93" spans="1:24" x14ac:dyDescent="0.45">
      <c r="A93" s="9" t="s">
        <v>246</v>
      </c>
      <c r="R93" s="2">
        <f>Expenses!R46</f>
        <v>5448000</v>
      </c>
    </row>
    <row r="94" spans="1:24" x14ac:dyDescent="0.45">
      <c r="A94" s="9" t="s">
        <v>240</v>
      </c>
      <c r="V94" s="10">
        <f>V90*(1+'CAP FS'!$Q$44)/('CAP FS'!$P$65-'CAP FS'!$Q$44)</f>
        <v>20755282.329105247</v>
      </c>
    </row>
    <row r="95" spans="1:24" x14ac:dyDescent="0.45">
      <c r="A95" s="9" t="s">
        <v>241</v>
      </c>
      <c r="R95" s="2">
        <f>V94*V91</f>
        <v>13437337.33111155</v>
      </c>
      <c r="V95" s="87"/>
    </row>
    <row r="96" spans="1:24" x14ac:dyDescent="0.45">
      <c r="A96" s="9"/>
      <c r="V96" s="87"/>
    </row>
    <row r="97" spans="1:22" ht="15.4" x14ac:dyDescent="0.6">
      <c r="A97" s="253" t="s">
        <v>243</v>
      </c>
      <c r="R97" s="251">
        <f>R95+SUM(R92:V92)-R93</f>
        <v>13579296.166171245</v>
      </c>
      <c r="V97" s="87"/>
    </row>
    <row r="98" spans="1:22" ht="15.4" x14ac:dyDescent="0.6">
      <c r="A98" s="253"/>
      <c r="R98" s="2">
        <f>-R93+R92</f>
        <v>-4162703.9849378485</v>
      </c>
      <c r="S98" s="2">
        <f>S92</f>
        <v>1343994.6936457236</v>
      </c>
      <c r="T98" s="2">
        <f>T92</f>
        <v>1163393.793429936</v>
      </c>
      <c r="U98" s="2">
        <f>U92</f>
        <v>988794.0107804077</v>
      </c>
      <c r="V98" s="87">
        <f>V94+V92</f>
        <v>21563762.651246723</v>
      </c>
    </row>
    <row r="99" spans="1:22" x14ac:dyDescent="0.45">
      <c r="A99" s="9" t="s">
        <v>245</v>
      </c>
      <c r="V99" s="87"/>
    </row>
    <row r="100" spans="1:22" ht="15.4" x14ac:dyDescent="0.6">
      <c r="A100" s="253" t="s">
        <v>244</v>
      </c>
      <c r="R100" s="252">
        <f>IRR(R98:V98)</f>
        <v>0.67553445728262052</v>
      </c>
      <c r="V100" s="87"/>
    </row>
    <row r="101" spans="1:22" x14ac:dyDescent="0.45">
      <c r="A101" s="9"/>
      <c r="V101" s="87"/>
    </row>
    <row r="102" spans="1:22" ht="15.4" x14ac:dyDescent="0.6">
      <c r="A102" s="253" t="s">
        <v>247</v>
      </c>
      <c r="R102" s="255">
        <f>R97/R93</f>
        <v>2.4925286648625633</v>
      </c>
      <c r="V102" s="87"/>
    </row>
    <row r="103" spans="1:22" x14ac:dyDescent="0.45">
      <c r="A103" s="9"/>
      <c r="V103" s="87"/>
    </row>
    <row r="104" spans="1:22" x14ac:dyDescent="0.45">
      <c r="A104" s="9" t="s">
        <v>248</v>
      </c>
    </row>
    <row r="105" spans="1:22" x14ac:dyDescent="0.45">
      <c r="A105" s="9" t="s">
        <v>245</v>
      </c>
      <c r="R105" s="256"/>
      <c r="S105" s="256"/>
      <c r="T105" s="256"/>
      <c r="U105" s="256"/>
      <c r="V105" s="257"/>
    </row>
    <row r="106" spans="1:22" x14ac:dyDescent="0.45">
      <c r="A106" s="9" t="str">
        <f>A92</f>
        <v>Flux de tresorerie nets actualises</v>
      </c>
      <c r="R106" s="2">
        <f>R92</f>
        <v>1285296.0150621515</v>
      </c>
      <c r="S106" s="2">
        <f>S92</f>
        <v>1343994.6936457236</v>
      </c>
      <c r="T106" s="2">
        <f>T92</f>
        <v>1163393.793429936</v>
      </c>
      <c r="U106" s="2">
        <f>U92</f>
        <v>988794.0107804077</v>
      </c>
      <c r="V106" s="87">
        <f>V92</f>
        <v>808480.32214147667</v>
      </c>
    </row>
    <row r="107" spans="1:22" x14ac:dyDescent="0.45">
      <c r="A107" s="9" t="s">
        <v>249</v>
      </c>
      <c r="R107" s="2">
        <f>-R93</f>
        <v>-5448000</v>
      </c>
      <c r="S107" s="2">
        <f>-S93</f>
        <v>0</v>
      </c>
      <c r="T107" s="2">
        <f>-T93</f>
        <v>0</v>
      </c>
      <c r="U107" s="2">
        <f>-U93</f>
        <v>0</v>
      </c>
      <c r="V107" s="87">
        <f>-V93</f>
        <v>0</v>
      </c>
    </row>
    <row r="108" spans="1:22" x14ac:dyDescent="0.45">
      <c r="A108" s="9" t="s">
        <v>250</v>
      </c>
      <c r="V108" s="87">
        <f>V94</f>
        <v>20755282.329105247</v>
      </c>
    </row>
    <row r="109" spans="1:22" x14ac:dyDescent="0.45">
      <c r="A109" s="9" t="s">
        <v>251</v>
      </c>
      <c r="R109" s="2">
        <f>SUM(R106:R108)*R91</f>
        <v>-4162703.9849378485</v>
      </c>
      <c r="S109" s="2">
        <f>SUM(S106:S108)*S91</f>
        <v>1205573.5127156377</v>
      </c>
      <c r="T109" s="2">
        <f>SUM(T106:T108)*T91</f>
        <v>936093.06929392857</v>
      </c>
      <c r="U109" s="2">
        <f>SUM(U106:U108)*U91</f>
        <v>713664.76946099673</v>
      </c>
      <c r="V109" s="87">
        <f>SUM(V106:V108)*V91</f>
        <v>13960761.808886366</v>
      </c>
    </row>
    <row r="110" spans="1:22" x14ac:dyDescent="0.45">
      <c r="A110" s="9" t="s">
        <v>252</v>
      </c>
      <c r="R110" s="2">
        <f>R109</f>
        <v>-4162703.9849378485</v>
      </c>
      <c r="S110" s="2">
        <f>R109+S109</f>
        <v>-2957130.4722222108</v>
      </c>
      <c r="T110" s="2">
        <f>S109+T109</f>
        <v>2141666.582009566</v>
      </c>
      <c r="U110" s="2">
        <f>T109+U109</f>
        <v>1649757.8387549254</v>
      </c>
      <c r="V110" s="87">
        <f>U109+V109</f>
        <v>14674426.578347363</v>
      </c>
    </row>
    <row r="111" spans="1:22" x14ac:dyDescent="0.45">
      <c r="A111" s="9"/>
      <c r="V111" s="87"/>
    </row>
    <row r="112" spans="1:22" ht="15.4" x14ac:dyDescent="0.6">
      <c r="A112" s="253" t="s">
        <v>248</v>
      </c>
      <c r="R112" s="254">
        <f>(3-2)*(-S110)/(T110-S110)+2</f>
        <v>2.579966302006063</v>
      </c>
      <c r="S112" s="254" t="s">
        <v>253</v>
      </c>
      <c r="T112" s="254" t="s">
        <v>254</v>
      </c>
      <c r="V112" s="87"/>
    </row>
    <row r="113" spans="1:26" ht="15.75" thickBot="1" x14ac:dyDescent="0.65">
      <c r="A113" s="258"/>
      <c r="R113" s="259"/>
      <c r="S113" s="260">
        <f>INT(R112)</f>
        <v>2</v>
      </c>
      <c r="T113" s="260">
        <f>(R112-S113)*12</f>
        <v>6.9595956240727563</v>
      </c>
      <c r="U113" s="261"/>
      <c r="V113" s="262"/>
    </row>
    <row r="114" spans="1:26" ht="14.65" thickBot="1" x14ac:dyDescent="0.5">
      <c r="X114" s="2" t="s">
        <v>263</v>
      </c>
    </row>
    <row r="115" spans="1:26" x14ac:dyDescent="0.45">
      <c r="A115" s="23" t="s">
        <v>261</v>
      </c>
      <c r="B115" s="185"/>
      <c r="C115" s="185"/>
      <c r="D115" s="185"/>
      <c r="E115" s="185"/>
      <c r="F115" s="185"/>
      <c r="G115" s="185"/>
      <c r="H115" s="185"/>
      <c r="I115" s="185"/>
      <c r="J115" s="185"/>
      <c r="K115" s="185"/>
      <c r="L115" s="185"/>
      <c r="M115" s="185"/>
      <c r="N115" s="185"/>
      <c r="O115" s="185"/>
      <c r="P115" s="185"/>
      <c r="Q115" s="185"/>
      <c r="R115" s="185"/>
      <c r="S115" s="185"/>
      <c r="T115" s="185"/>
      <c r="U115" s="185"/>
      <c r="V115" s="186"/>
      <c r="X115" s="2" t="s">
        <v>260</v>
      </c>
      <c r="Z115" s="2" t="s">
        <v>262</v>
      </c>
    </row>
    <row r="116" spans="1:26" x14ac:dyDescent="0.45">
      <c r="A116" s="246" t="s">
        <v>225</v>
      </c>
      <c r="R116" s="2">
        <f>R5*$Z116</f>
        <v>90816.795408709571</v>
      </c>
      <c r="S116" s="2">
        <f>S5*$Z116</f>
        <v>84406.247666873911</v>
      </c>
      <c r="T116" s="2">
        <f>T5*$Z116</f>
        <v>79978.306810578797</v>
      </c>
      <c r="U116" s="2">
        <f>U5*$Z116</f>
        <v>75121.253999810418</v>
      </c>
      <c r="V116" s="87">
        <f>V5*$Z116</f>
        <v>69821.448279446049</v>
      </c>
      <c r="X116" s="2">
        <f>(('Revenue and Margins'!R57+'Revenue and Margins'!R16)-'Revenue and Margins'!Q64)/'Revenue and Margins'!Q64</f>
        <v>-0.19961580072806001</v>
      </c>
      <c r="Z116" s="2">
        <v>0.01</v>
      </c>
    </row>
    <row r="117" spans="1:26" x14ac:dyDescent="0.45">
      <c r="A117" s="246" t="s">
        <v>226</v>
      </c>
      <c r="R117" s="2">
        <v>0</v>
      </c>
      <c r="S117" s="2">
        <v>0</v>
      </c>
      <c r="T117" s="2">
        <v>0</v>
      </c>
      <c r="U117" s="2">
        <v>0</v>
      </c>
      <c r="V117" s="87">
        <v>0</v>
      </c>
    </row>
    <row r="118" spans="1:26" x14ac:dyDescent="0.45">
      <c r="A118" s="9" t="s">
        <v>228</v>
      </c>
      <c r="R118" s="2">
        <f>0.3*R116</f>
        <v>27245.038622612872</v>
      </c>
      <c r="S118" s="2">
        <f>0.3*S116</f>
        <v>25321.874300062173</v>
      </c>
      <c r="T118" s="2">
        <f>0.3*T116</f>
        <v>23993.492043173639</v>
      </c>
      <c r="U118" s="2">
        <f>0.3*U116</f>
        <v>22536.376199943126</v>
      </c>
      <c r="V118" s="87">
        <f>0.3*V116</f>
        <v>20946.434483833815</v>
      </c>
    </row>
    <row r="119" spans="1:26" x14ac:dyDescent="0.45">
      <c r="A119" s="9" t="s">
        <v>258</v>
      </c>
      <c r="R119" s="2">
        <v>0</v>
      </c>
      <c r="S119" s="2">
        <f>Expenses!S51</f>
        <v>0</v>
      </c>
      <c r="T119" s="2">
        <f>Expenses!T51</f>
        <v>0</v>
      </c>
      <c r="U119" s="2">
        <f>Expenses!U51</f>
        <v>0</v>
      </c>
      <c r="V119" s="87">
        <f>Expenses!V51</f>
        <v>0</v>
      </c>
    </row>
    <row r="120" spans="1:26" x14ac:dyDescent="0.45">
      <c r="A120" s="9" t="s">
        <v>227</v>
      </c>
      <c r="R120" s="2">
        <f>$X$85*R40</f>
        <v>0</v>
      </c>
      <c r="S120" s="2">
        <f>$X$85*S40</f>
        <v>0</v>
      </c>
      <c r="T120" s="2">
        <f>$X$85*T40</f>
        <v>0</v>
      </c>
      <c r="U120" s="2">
        <f>$X$85*U40</f>
        <v>0</v>
      </c>
      <c r="V120" s="87">
        <f>$X$85*V40</f>
        <v>0</v>
      </c>
    </row>
    <row r="121" spans="1:26" x14ac:dyDescent="0.45">
      <c r="A121" s="9" t="s">
        <v>232</v>
      </c>
      <c r="R121" s="2">
        <f>R116+R117-R118-R119-R120</f>
        <v>63571.756786096696</v>
      </c>
      <c r="S121" s="2">
        <f>S116+S117-S118-S119-S120</f>
        <v>59084.373366811735</v>
      </c>
      <c r="T121" s="2">
        <f>T116+T117-T118-T119-T120</f>
        <v>55984.814767405158</v>
      </c>
      <c r="U121" s="2">
        <f>U116+U117-U118-U119-U120</f>
        <v>52584.877799867289</v>
      </c>
      <c r="V121" s="87">
        <f>V116+V117-V118-V119-V120</f>
        <v>48875.013795612234</v>
      </c>
    </row>
    <row r="122" spans="1:26" x14ac:dyDescent="0.45">
      <c r="A122" s="9" t="s">
        <v>238</v>
      </c>
      <c r="R122" s="2">
        <f>R91</f>
        <v>1</v>
      </c>
      <c r="S122" s="2">
        <f>S91</f>
        <v>0.8970076432708195</v>
      </c>
      <c r="T122" s="2">
        <f>T91</f>
        <v>0.80462271208626968</v>
      </c>
      <c r="U122" s="2">
        <f>U91</f>
        <v>0.72175272269067992</v>
      </c>
      <c r="V122" s="87">
        <f>V91</f>
        <v>0.647417708805064</v>
      </c>
    </row>
    <row r="123" spans="1:26" x14ac:dyDescent="0.45">
      <c r="A123" s="9" t="s">
        <v>239</v>
      </c>
      <c r="R123" s="2">
        <f>R121*R122</f>
        <v>63571.756786096696</v>
      </c>
      <c r="S123" s="2">
        <f>S121*S122</f>
        <v>52999.134507896968</v>
      </c>
      <c r="T123" s="2">
        <f>T121*T122</f>
        <v>45046.653493796977</v>
      </c>
      <c r="U123" s="2">
        <f>U121*U122</f>
        <v>37953.278724410906</v>
      </c>
      <c r="V123" s="87">
        <f>V121*V122</f>
        <v>31642.549449371167</v>
      </c>
    </row>
    <row r="124" spans="1:26" x14ac:dyDescent="0.45">
      <c r="A124" s="9"/>
      <c r="R124" s="2">
        <f>Expenses!R77</f>
        <v>0</v>
      </c>
      <c r="V124" s="87"/>
    </row>
    <row r="125" spans="1:26" x14ac:dyDescent="0.45">
      <c r="A125" s="9" t="s">
        <v>240</v>
      </c>
      <c r="V125" s="10">
        <f>V121*(1+'CAP FS'!$Q$44)/('CAP FS'!$P$65-'CAP FS'!$Q$44)</f>
        <v>812326.57054013864</v>
      </c>
    </row>
    <row r="126" spans="1:26" x14ac:dyDescent="0.45">
      <c r="A126" s="9" t="s">
        <v>241</v>
      </c>
      <c r="R126" s="2">
        <f>-R124+R123</f>
        <v>63571.756786096696</v>
      </c>
      <c r="V126" s="87"/>
    </row>
    <row r="127" spans="1:26" x14ac:dyDescent="0.45">
      <c r="A127" s="9" t="s">
        <v>246</v>
      </c>
      <c r="R127" s="2">
        <f>Expenses!R51</f>
        <v>200000</v>
      </c>
      <c r="V127" s="87"/>
    </row>
    <row r="128" spans="1:26" x14ac:dyDescent="0.45">
      <c r="A128" s="9"/>
      <c r="V128" s="87"/>
    </row>
    <row r="129" spans="1:22" ht="15.4" x14ac:dyDescent="0.6">
      <c r="A129" s="253" t="s">
        <v>243</v>
      </c>
      <c r="R129" s="251">
        <f>SUM(R123:V123)-R127+R126</f>
        <v>94785.129747669416</v>
      </c>
      <c r="V129" s="87"/>
    </row>
    <row r="130" spans="1:22" x14ac:dyDescent="0.45">
      <c r="A130" s="9" t="s">
        <v>245</v>
      </c>
      <c r="R130" s="2">
        <f>R123-R127</f>
        <v>-136428.2432139033</v>
      </c>
      <c r="S130" s="2">
        <f>S123</f>
        <v>52999.134507896968</v>
      </c>
      <c r="T130" s="2">
        <f>T123</f>
        <v>45046.653493796977</v>
      </c>
      <c r="U130" s="2">
        <f>U123</f>
        <v>37953.278724410906</v>
      </c>
      <c r="V130" s="87">
        <f>V123</f>
        <v>31642.549449371167</v>
      </c>
    </row>
    <row r="131" spans="1:22" ht="15.4" x14ac:dyDescent="0.6">
      <c r="A131" s="253" t="s">
        <v>244</v>
      </c>
      <c r="R131" s="252">
        <f>IRR(R130:V130)</f>
        <v>9.6690471492364427E-2</v>
      </c>
      <c r="V131" s="87"/>
    </row>
    <row r="132" spans="1:22" x14ac:dyDescent="0.45">
      <c r="A132" s="9"/>
      <c r="V132" s="87"/>
    </row>
    <row r="133" spans="1:22" ht="15.4" x14ac:dyDescent="0.6">
      <c r="A133" s="253" t="s">
        <v>247</v>
      </c>
      <c r="R133" s="255">
        <f>R129/R127</f>
        <v>0.47392564873834708</v>
      </c>
      <c r="V133" s="87"/>
    </row>
    <row r="134" spans="1:22" x14ac:dyDescent="0.45">
      <c r="A134" s="9"/>
      <c r="V134" s="87"/>
    </row>
    <row r="135" spans="1:22" x14ac:dyDescent="0.45">
      <c r="A135" s="9" t="s">
        <v>248</v>
      </c>
      <c r="V135" s="87"/>
    </row>
    <row r="136" spans="1:22" x14ac:dyDescent="0.45">
      <c r="A136" s="9" t="s">
        <v>245</v>
      </c>
      <c r="R136" s="256"/>
      <c r="S136" s="256"/>
      <c r="T136" s="256"/>
      <c r="U136" s="256"/>
      <c r="V136" s="257"/>
    </row>
    <row r="137" spans="1:22" x14ac:dyDescent="0.45">
      <c r="A137" s="9" t="str">
        <f>A123</f>
        <v>Flux de tresorerie nets actualises</v>
      </c>
      <c r="R137" s="2">
        <f>R123</f>
        <v>63571.756786096696</v>
      </c>
      <c r="S137" s="2">
        <f>S123</f>
        <v>52999.134507896968</v>
      </c>
      <c r="T137" s="2">
        <f>T123</f>
        <v>45046.653493796977</v>
      </c>
      <c r="U137" s="2">
        <f>U123</f>
        <v>37953.278724410906</v>
      </c>
      <c r="V137" s="87">
        <f>V123</f>
        <v>31642.549449371167</v>
      </c>
    </row>
    <row r="138" spans="1:22" x14ac:dyDescent="0.45">
      <c r="A138" s="9" t="s">
        <v>249</v>
      </c>
      <c r="R138" s="2">
        <f>-R127</f>
        <v>-200000</v>
      </c>
      <c r="S138" s="2">
        <f>-S124</f>
        <v>0</v>
      </c>
      <c r="T138" s="2">
        <f>-T124</f>
        <v>0</v>
      </c>
      <c r="U138" s="2">
        <f>-U124</f>
        <v>0</v>
      </c>
      <c r="V138" s="87">
        <f>-V124</f>
        <v>0</v>
      </c>
    </row>
    <row r="139" spans="1:22" x14ac:dyDescent="0.45">
      <c r="A139" s="9" t="s">
        <v>250</v>
      </c>
      <c r="V139" s="87">
        <f>V125</f>
        <v>812326.57054013864</v>
      </c>
    </row>
    <row r="140" spans="1:22" x14ac:dyDescent="0.45">
      <c r="A140" s="9" t="s">
        <v>251</v>
      </c>
      <c r="R140" s="2">
        <f>SUM(R137:R139)*R122</f>
        <v>-136428.2432139033</v>
      </c>
      <c r="S140" s="2">
        <f>SUM(S137:S139)*S122</f>
        <v>47540.628740321823</v>
      </c>
      <c r="T140" s="2">
        <f>SUM(T137:T139)*T122</f>
        <v>36245.560504589361</v>
      </c>
      <c r="U140" s="2">
        <f>SUM(U137:U139)*U122</f>
        <v>27392.882254381828</v>
      </c>
      <c r="V140" s="87">
        <f>SUM(V137:V139)*V122</f>
        <v>546400.55396583455</v>
      </c>
    </row>
    <row r="141" spans="1:22" x14ac:dyDescent="0.45">
      <c r="A141" s="9" t="s">
        <v>252</v>
      </c>
      <c r="R141" s="2">
        <f>R140</f>
        <v>-136428.2432139033</v>
      </c>
      <c r="S141" s="2">
        <f>R140+S140</f>
        <v>-88887.614473581489</v>
      </c>
      <c r="T141" s="2">
        <f>S140+T140</f>
        <v>83786.189244911191</v>
      </c>
      <c r="U141" s="2">
        <f>T140+U140</f>
        <v>63638.442758971185</v>
      </c>
      <c r="V141" s="87">
        <f>U140+V140</f>
        <v>573793.43622021633</v>
      </c>
    </row>
    <row r="142" spans="1:22" x14ac:dyDescent="0.45">
      <c r="A142" s="9"/>
      <c r="V142" s="87"/>
    </row>
    <row r="143" spans="1:22" ht="15.4" x14ac:dyDescent="0.6">
      <c r="A143" s="253" t="s">
        <v>248</v>
      </c>
      <c r="R143" s="254">
        <f>(3-2)*(-S141)/(T141-S141)+2</f>
        <v>2.5147718562943893</v>
      </c>
      <c r="S143" s="254" t="s">
        <v>253</v>
      </c>
      <c r="T143" s="254" t="s">
        <v>254</v>
      </c>
      <c r="V143" s="87"/>
    </row>
    <row r="144" spans="1:22" ht="15.75" thickBot="1" x14ac:dyDescent="0.65">
      <c r="A144" s="258"/>
      <c r="B144" s="266"/>
      <c r="C144" s="266"/>
      <c r="D144" s="266"/>
      <c r="E144" s="266"/>
      <c r="F144" s="266"/>
      <c r="G144" s="266"/>
      <c r="H144" s="266"/>
      <c r="I144" s="266"/>
      <c r="J144" s="266"/>
      <c r="K144" s="266"/>
      <c r="L144" s="266"/>
      <c r="M144" s="266"/>
      <c r="N144" s="266"/>
      <c r="O144" s="266"/>
      <c r="P144" s="266"/>
      <c r="Q144" s="266"/>
      <c r="R144" s="259"/>
      <c r="S144" s="260">
        <f>INT(R143)</f>
        <v>2</v>
      </c>
      <c r="T144" s="260">
        <f>(R143-S144)*12</f>
        <v>6.1772622755326712</v>
      </c>
      <c r="U144" s="261"/>
      <c r="V144" s="262"/>
    </row>
  </sheetData>
  <mergeCells count="2">
    <mergeCell ref="R2:V2"/>
    <mergeCell ref="B2:P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3414F-CFA4-4FF1-B106-E9A4A1C33C88}">
  <dimension ref="W2:AQ39"/>
  <sheetViews>
    <sheetView showGridLines="0" zoomScale="60" zoomScaleNormal="60" workbookViewId="0">
      <selection activeCell="V42" sqref="V42"/>
    </sheetView>
  </sheetViews>
  <sheetFormatPr defaultRowHeight="14.25" x14ac:dyDescent="0.45"/>
  <cols>
    <col min="16" max="16" width="11.53125" bestFit="1" customWidth="1"/>
    <col min="17" max="17" width="17.53125" bestFit="1" customWidth="1"/>
    <col min="18" max="21" width="17.53125" customWidth="1"/>
    <col min="22" max="22" width="17.53125" bestFit="1" customWidth="1"/>
    <col min="23" max="23" width="19.19921875" bestFit="1" customWidth="1"/>
    <col min="24" max="33" width="17.53125" bestFit="1" customWidth="1"/>
    <col min="34" max="34" width="16.3984375" bestFit="1" customWidth="1"/>
    <col min="35" max="38" width="17.53125" bestFit="1" customWidth="1"/>
    <col min="39" max="43" width="16.3984375" bestFit="1" customWidth="1"/>
  </cols>
  <sheetData>
    <row r="2" spans="23:43" x14ac:dyDescent="0.45">
      <c r="X2" s="9">
        <v>2010</v>
      </c>
      <c r="Y2">
        <v>2011</v>
      </c>
      <c r="Z2">
        <v>2012</v>
      </c>
      <c r="AA2">
        <v>2013</v>
      </c>
      <c r="AB2">
        <v>2014</v>
      </c>
      <c r="AC2">
        <v>2015</v>
      </c>
      <c r="AD2">
        <v>2016</v>
      </c>
      <c r="AE2">
        <v>2017</v>
      </c>
      <c r="AF2">
        <v>2018</v>
      </c>
      <c r="AG2">
        <v>2019</v>
      </c>
      <c r="AH2">
        <v>2020</v>
      </c>
      <c r="AI2">
        <v>2021</v>
      </c>
      <c r="AJ2">
        <v>2022</v>
      </c>
      <c r="AK2" s="10">
        <v>2023</v>
      </c>
      <c r="AL2" s="20">
        <v>2024</v>
      </c>
      <c r="AM2" s="9">
        <v>2025</v>
      </c>
      <c r="AN2">
        <v>2026</v>
      </c>
      <c r="AO2">
        <v>2027</v>
      </c>
      <c r="AP2">
        <v>2028</v>
      </c>
      <c r="AQ2" s="10">
        <v>2029</v>
      </c>
    </row>
    <row r="3" spans="23:43" x14ac:dyDescent="0.45">
      <c r="W3" s="139" t="s">
        <v>216</v>
      </c>
      <c r="X3" s="39">
        <v>47102513.140000001</v>
      </c>
      <c r="Y3" s="26">
        <v>36319397.030000001</v>
      </c>
      <c r="Z3" s="26">
        <v>38103827.700000003</v>
      </c>
      <c r="AA3" s="26">
        <v>39270377.609999999</v>
      </c>
      <c r="AB3" s="26">
        <v>44256581.259999998</v>
      </c>
      <c r="AC3" s="26">
        <v>43619069.719999999</v>
      </c>
      <c r="AD3" s="26">
        <v>43950089.280000001</v>
      </c>
      <c r="AE3" s="26">
        <v>44966920.759999998</v>
      </c>
      <c r="AF3" s="26">
        <v>45490678.640000001</v>
      </c>
      <c r="AG3" s="26">
        <v>46493271.119999997</v>
      </c>
      <c r="AH3" s="26">
        <v>44862620.130000003</v>
      </c>
      <c r="AI3" s="26">
        <v>46495023.869999997</v>
      </c>
      <c r="AJ3" s="26">
        <v>47209956.939999998</v>
      </c>
      <c r="AK3" s="40">
        <v>48489260.350000001</v>
      </c>
      <c r="AL3" s="91">
        <v>49004916.461443655</v>
      </c>
      <c r="AM3" s="39">
        <v>92727661.516429961</v>
      </c>
      <c r="AN3" s="26">
        <v>103700397.02643815</v>
      </c>
      <c r="AO3" s="26">
        <v>106404716.99756217</v>
      </c>
      <c r="AP3" s="26">
        <v>109323618.87989743</v>
      </c>
      <c r="AQ3" s="40">
        <v>112483941.8596493</v>
      </c>
    </row>
    <row r="4" spans="23:43" x14ac:dyDescent="0.45">
      <c r="W4" s="9" t="s">
        <v>219</v>
      </c>
      <c r="X4" s="146">
        <v>0.18380974011500581</v>
      </c>
      <c r="Y4" s="53">
        <v>-0.22892867898470692</v>
      </c>
      <c r="Z4" s="53">
        <v>4.9131616048748092E-2</v>
      </c>
      <c r="AA4" s="53">
        <v>3.0615032148069373E-2</v>
      </c>
      <c r="AB4" s="53">
        <v>0.12697111546822223</v>
      </c>
      <c r="AC4" s="53">
        <v>-1.4404898025329287E-2</v>
      </c>
      <c r="AD4" s="53">
        <v>7.5888725304066934E-3</v>
      </c>
      <c r="AE4" s="53">
        <v>2.3136050384833181E-2</v>
      </c>
      <c r="AF4" s="53">
        <v>1.1647626102650724E-2</v>
      </c>
      <c r="AG4" s="53">
        <v>2.2039514686826769E-2</v>
      </c>
      <c r="AH4" s="53">
        <v>-3.5072838514443393E-2</v>
      </c>
      <c r="AI4" s="53">
        <v>3.6386723184462268E-2</v>
      </c>
      <c r="AJ4" s="53">
        <v>1.5376550230384908E-2</v>
      </c>
      <c r="AK4" s="54">
        <v>2.7098169388840878E-2</v>
      </c>
      <c r="AL4" s="98">
        <v>1.0634439620683009E-2</v>
      </c>
      <c r="AM4" s="52">
        <v>0.89221139861317211</v>
      </c>
      <c r="AN4" s="53">
        <v>0.11833292601759379</v>
      </c>
      <c r="AO4" s="53">
        <v>2.6078202674909373E-2</v>
      </c>
      <c r="AP4" s="53">
        <v>2.7432072230426919E-2</v>
      </c>
      <c r="AQ4" s="54">
        <v>2.8907961629259554E-2</v>
      </c>
    </row>
    <row r="6" spans="23:43" x14ac:dyDescent="0.45">
      <c r="X6" s="9">
        <v>2010</v>
      </c>
      <c r="Y6">
        <v>2011</v>
      </c>
      <c r="Z6">
        <v>2012</v>
      </c>
      <c r="AA6">
        <v>2013</v>
      </c>
      <c r="AB6">
        <v>2014</v>
      </c>
      <c r="AC6">
        <v>2015</v>
      </c>
      <c r="AD6">
        <v>2016</v>
      </c>
      <c r="AE6">
        <v>2017</v>
      </c>
      <c r="AF6">
        <v>2018</v>
      </c>
      <c r="AG6">
        <v>2019</v>
      </c>
      <c r="AH6">
        <v>2020</v>
      </c>
      <c r="AI6">
        <v>2021</v>
      </c>
      <c r="AJ6">
        <v>2022</v>
      </c>
      <c r="AK6" s="10">
        <v>2023</v>
      </c>
      <c r="AL6" s="20">
        <v>2024</v>
      </c>
      <c r="AM6" s="9">
        <v>2025</v>
      </c>
      <c r="AN6">
        <v>2026</v>
      </c>
      <c r="AO6">
        <v>2027</v>
      </c>
      <c r="AP6">
        <v>2028</v>
      </c>
      <c r="AQ6" s="10">
        <v>2029</v>
      </c>
    </row>
    <row r="7" spans="23:43" x14ac:dyDescent="0.45">
      <c r="W7" s="9" t="s">
        <v>215</v>
      </c>
      <c r="X7" s="86">
        <v>23448862824.081711</v>
      </c>
      <c r="Y7" s="2">
        <v>27010808591.588402</v>
      </c>
      <c r="Z7" s="2">
        <v>28000929480.717789</v>
      </c>
      <c r="AA7" s="2">
        <v>27517077609.022167</v>
      </c>
      <c r="AB7" s="2">
        <v>23921888750.797653</v>
      </c>
      <c r="AC7" s="2">
        <v>19707131342.927864</v>
      </c>
      <c r="AD7" s="2">
        <v>23439669721.748569</v>
      </c>
      <c r="AE7" s="2">
        <v>22352542616.634922</v>
      </c>
      <c r="AF7" s="2">
        <v>15138682078.814159</v>
      </c>
      <c r="AG7" s="2">
        <v>12858179510.527679</v>
      </c>
      <c r="AH7" s="2">
        <v>9790918331.6942444</v>
      </c>
      <c r="AI7" s="2">
        <v>11818088442.031521</v>
      </c>
      <c r="AJ7" s="2">
        <v>13058213251.59277</v>
      </c>
      <c r="AK7" s="87">
        <v>14763366308.220369</v>
      </c>
      <c r="AL7" s="87">
        <v>10839034279.061228</v>
      </c>
      <c r="AM7" s="86">
        <v>8909382008.1134491</v>
      </c>
      <c r="AN7" s="2">
        <v>9426867339.9620838</v>
      </c>
      <c r="AO7" s="2">
        <v>9934734787.5373993</v>
      </c>
      <c r="AP7" s="2">
        <v>9961022217.028244</v>
      </c>
      <c r="AQ7" s="87">
        <v>9471241891.8246193</v>
      </c>
    </row>
    <row r="8" spans="23:43" x14ac:dyDescent="0.45">
      <c r="W8" s="9" t="s">
        <v>15</v>
      </c>
      <c r="X8" s="52">
        <v>2.0087333655952931E-3</v>
      </c>
      <c r="Y8" s="53">
        <v>1.344624575263935E-3</v>
      </c>
      <c r="Z8" s="53">
        <v>1.3608058163297526E-3</v>
      </c>
      <c r="AA8" s="53">
        <v>1.4271274794502239E-3</v>
      </c>
      <c r="AB8" s="53">
        <v>1.8500454425248636E-3</v>
      </c>
      <c r="AC8" s="53">
        <v>2.2133647440094428E-3</v>
      </c>
      <c r="AD8" s="53">
        <v>1.875030228741695E-3</v>
      </c>
      <c r="AE8" s="53">
        <v>2.0117139034793873E-3</v>
      </c>
      <c r="AF8" s="53">
        <v>3.00492991418731E-3</v>
      </c>
      <c r="AG8" s="53">
        <v>3.615851768279753E-3</v>
      </c>
      <c r="AH8" s="53">
        <v>4.5820645837454212E-3</v>
      </c>
      <c r="AI8" s="53">
        <v>3.9342254120081311E-3</v>
      </c>
      <c r="AJ8" s="53">
        <v>3.6153458386997614E-3</v>
      </c>
      <c r="AK8" s="54">
        <v>3.2844311614080024E-3</v>
      </c>
      <c r="AL8" s="54">
        <v>4.5211515343309703E-3</v>
      </c>
      <c r="AM8" s="52">
        <v>1.0407866834308627E-2</v>
      </c>
      <c r="AN8" s="53">
        <v>1.1000515153834258E-2</v>
      </c>
      <c r="AO8" s="53">
        <v>1.0710373177856874E-2</v>
      </c>
      <c r="AP8" s="53">
        <v>1.0975140552644291E-2</v>
      </c>
      <c r="AQ8" s="54">
        <v>1.1876366705061469E-2</v>
      </c>
    </row>
    <row r="11" spans="23:43" x14ac:dyDescent="0.45">
      <c r="W11" t="s">
        <v>206</v>
      </c>
      <c r="X11" t="s">
        <v>207</v>
      </c>
    </row>
    <row r="12" spans="23:43" x14ac:dyDescent="0.45">
      <c r="W12" s="234">
        <f>'CAP FS'!W6</f>
        <v>2.2344912401250916E-3</v>
      </c>
      <c r="X12" s="234">
        <f>'CAP FS'!X6</f>
        <v>0.14717012812057217</v>
      </c>
    </row>
    <row r="14" spans="23:43" x14ac:dyDescent="0.45">
      <c r="X14">
        <v>2010</v>
      </c>
      <c r="Y14">
        <v>2011</v>
      </c>
      <c r="Z14">
        <v>2012</v>
      </c>
      <c r="AA14">
        <v>2013</v>
      </c>
      <c r="AB14">
        <v>2014</v>
      </c>
      <c r="AC14">
        <v>2015</v>
      </c>
      <c r="AD14">
        <v>2016</v>
      </c>
      <c r="AE14">
        <v>2017</v>
      </c>
      <c r="AF14">
        <v>2018</v>
      </c>
      <c r="AG14">
        <v>2019</v>
      </c>
      <c r="AH14">
        <v>2020</v>
      </c>
      <c r="AI14">
        <v>2021</v>
      </c>
      <c r="AJ14">
        <v>2022</v>
      </c>
      <c r="AK14">
        <v>2023</v>
      </c>
      <c r="AL14">
        <v>2024</v>
      </c>
      <c r="AM14">
        <v>2025</v>
      </c>
      <c r="AN14">
        <v>2026</v>
      </c>
      <c r="AO14">
        <v>2027</v>
      </c>
      <c r="AP14">
        <v>2028</v>
      </c>
      <c r="AQ14">
        <v>2029</v>
      </c>
    </row>
    <row r="15" spans="23:43" x14ac:dyDescent="0.45">
      <c r="W15" t="s">
        <v>212</v>
      </c>
      <c r="X15" s="235">
        <f t="shared" ref="X15:AQ15" si="0">X23/X$28</f>
        <v>6.2475893469566876E-2</v>
      </c>
      <c r="Y15" s="235">
        <f t="shared" si="0"/>
        <v>4.6359854436927188E-2</v>
      </c>
      <c r="Z15" s="235">
        <f t="shared" si="0"/>
        <v>4.9557364989878144E-2</v>
      </c>
      <c r="AA15" s="235">
        <f t="shared" si="0"/>
        <v>4.7329092957861522E-2</v>
      </c>
      <c r="AB15" s="235">
        <f t="shared" si="0"/>
        <v>3.5614478514939762E-2</v>
      </c>
      <c r="AC15" s="235">
        <f t="shared" si="0"/>
        <v>2.7952935054626465E-2</v>
      </c>
      <c r="AD15" s="235">
        <f t="shared" si="0"/>
        <v>0</v>
      </c>
      <c r="AE15" s="235">
        <f t="shared" si="0"/>
        <v>0</v>
      </c>
      <c r="AF15" s="235">
        <f t="shared" si="0"/>
        <v>0</v>
      </c>
      <c r="AG15" s="235">
        <f t="shared" si="0"/>
        <v>0</v>
      </c>
      <c r="AH15" s="235">
        <f t="shared" si="0"/>
        <v>0</v>
      </c>
      <c r="AI15" s="235">
        <f t="shared" si="0"/>
        <v>0</v>
      </c>
      <c r="AJ15" s="235">
        <f t="shared" si="0"/>
        <v>0</v>
      </c>
      <c r="AK15" s="235">
        <f t="shared" si="0"/>
        <v>0</v>
      </c>
      <c r="AL15" s="235">
        <f t="shared" si="0"/>
        <v>0</v>
      </c>
      <c r="AM15" s="235">
        <f t="shared" si="0"/>
        <v>3.8987019915698362E-2</v>
      </c>
      <c r="AN15" s="235">
        <f t="shared" si="0"/>
        <v>2.2401749395369295E-2</v>
      </c>
      <c r="AO15" s="235">
        <f t="shared" si="0"/>
        <v>3.262385688761886E-2</v>
      </c>
      <c r="AP15" s="235">
        <f t="shared" si="0"/>
        <v>3.1758705067593117E-2</v>
      </c>
      <c r="AQ15" s="235">
        <f t="shared" si="0"/>
        <v>3.0947846988559985E-2</v>
      </c>
    </row>
    <row r="16" spans="23:43" x14ac:dyDescent="0.45">
      <c r="W16" t="s">
        <v>209</v>
      </c>
      <c r="X16" s="235">
        <f t="shared" ref="X16:AQ16" si="1">X24/X$28</f>
        <v>0</v>
      </c>
      <c r="Y16" s="235">
        <f t="shared" si="1"/>
        <v>0</v>
      </c>
      <c r="Z16" s="235">
        <f t="shared" si="1"/>
        <v>0</v>
      </c>
      <c r="AA16" s="235">
        <f t="shared" si="1"/>
        <v>0</v>
      </c>
      <c r="AB16" s="235">
        <f t="shared" si="1"/>
        <v>0</v>
      </c>
      <c r="AC16" s="235">
        <f t="shared" si="1"/>
        <v>0</v>
      </c>
      <c r="AD16" s="235">
        <f t="shared" si="1"/>
        <v>0</v>
      </c>
      <c r="AE16" s="235">
        <f t="shared" si="1"/>
        <v>0</v>
      </c>
      <c r="AF16" s="235">
        <f t="shared" si="1"/>
        <v>0</v>
      </c>
      <c r="AG16" s="235">
        <f t="shared" si="1"/>
        <v>0</v>
      </c>
      <c r="AH16" s="235">
        <f t="shared" si="1"/>
        <v>0</v>
      </c>
      <c r="AI16" s="235">
        <f t="shared" si="1"/>
        <v>0</v>
      </c>
      <c r="AJ16" s="235">
        <f t="shared" si="1"/>
        <v>0</v>
      </c>
      <c r="AK16" s="235">
        <f t="shared" si="1"/>
        <v>0</v>
      </c>
      <c r="AL16" s="235">
        <f t="shared" si="1"/>
        <v>0</v>
      </c>
      <c r="AM16" s="235">
        <f t="shared" si="1"/>
        <v>0.43497296010393988</v>
      </c>
      <c r="AN16" s="235">
        <f t="shared" si="1"/>
        <v>0.54661392896503236</v>
      </c>
      <c r="AO16" s="235">
        <f t="shared" si="1"/>
        <v>8.5702081814199567E-4</v>
      </c>
      <c r="AP16" s="235">
        <f t="shared" si="1"/>
        <v>8.2696774360448003E-4</v>
      </c>
      <c r="AQ16" s="235">
        <f t="shared" si="1"/>
        <v>5.9912948064968683E-4</v>
      </c>
    </row>
    <row r="17" spans="23:43" x14ac:dyDescent="0.45">
      <c r="W17" t="s">
        <v>210</v>
      </c>
      <c r="X17" s="235">
        <f t="shared" ref="X17:AQ17" si="2">X25/X$28</f>
        <v>0</v>
      </c>
      <c r="Y17" s="235">
        <f t="shared" si="2"/>
        <v>0</v>
      </c>
      <c r="Z17" s="235">
        <f t="shared" si="2"/>
        <v>0</v>
      </c>
      <c r="AA17" s="235">
        <f t="shared" si="2"/>
        <v>0</v>
      </c>
      <c r="AB17" s="235">
        <f t="shared" si="2"/>
        <v>0</v>
      </c>
      <c r="AC17" s="235">
        <f t="shared" si="2"/>
        <v>0</v>
      </c>
      <c r="AD17" s="235">
        <f t="shared" si="2"/>
        <v>0</v>
      </c>
      <c r="AE17" s="235">
        <f t="shared" si="2"/>
        <v>0</v>
      </c>
      <c r="AF17" s="235">
        <f t="shared" si="2"/>
        <v>0</v>
      </c>
      <c r="AG17" s="235">
        <f t="shared" si="2"/>
        <v>0</v>
      </c>
      <c r="AH17" s="235">
        <f t="shared" si="2"/>
        <v>0</v>
      </c>
      <c r="AI17" s="235">
        <f t="shared" si="2"/>
        <v>0</v>
      </c>
      <c r="AJ17" s="235">
        <f t="shared" si="2"/>
        <v>0</v>
      </c>
      <c r="AK17" s="235">
        <f t="shared" si="2"/>
        <v>0</v>
      </c>
      <c r="AL17" s="235">
        <f t="shared" si="2"/>
        <v>0</v>
      </c>
      <c r="AM17" s="235">
        <f t="shared" si="2"/>
        <v>7.9382317342880527E-3</v>
      </c>
      <c r="AN17" s="235">
        <f t="shared" si="2"/>
        <v>7.9327191505129417E-5</v>
      </c>
      <c r="AO17" s="235">
        <f t="shared" si="2"/>
        <v>1.4997864317484923E-4</v>
      </c>
      <c r="AP17" s="235">
        <f t="shared" si="2"/>
        <v>8.2696774360448006E-5</v>
      </c>
      <c r="AQ17" s="235">
        <f t="shared" si="2"/>
        <v>5.9912948064968679E-5</v>
      </c>
    </row>
    <row r="18" spans="23:43" x14ac:dyDescent="0.45">
      <c r="W18" t="s">
        <v>213</v>
      </c>
      <c r="X18" s="235">
        <f t="shared" ref="X18:AQ18" si="3">X26/X$28</f>
        <v>0</v>
      </c>
      <c r="Y18" s="235">
        <f t="shared" si="3"/>
        <v>0</v>
      </c>
      <c r="Z18" s="235">
        <f t="shared" si="3"/>
        <v>0</v>
      </c>
      <c r="AA18" s="235">
        <f t="shared" si="3"/>
        <v>0</v>
      </c>
      <c r="AB18" s="235">
        <f t="shared" si="3"/>
        <v>0</v>
      </c>
      <c r="AC18" s="235">
        <f t="shared" si="3"/>
        <v>0</v>
      </c>
      <c r="AD18" s="235">
        <f t="shared" si="3"/>
        <v>0</v>
      </c>
      <c r="AE18" s="235">
        <f t="shared" si="3"/>
        <v>0</v>
      </c>
      <c r="AF18" s="235">
        <f t="shared" si="3"/>
        <v>0</v>
      </c>
      <c r="AG18" s="235">
        <f t="shared" si="3"/>
        <v>0</v>
      </c>
      <c r="AH18" s="235">
        <f t="shared" si="3"/>
        <v>0</v>
      </c>
      <c r="AI18" s="235">
        <f t="shared" si="3"/>
        <v>0</v>
      </c>
      <c r="AJ18" s="235">
        <f t="shared" si="3"/>
        <v>0</v>
      </c>
      <c r="AK18" s="235">
        <f t="shared" si="3"/>
        <v>0</v>
      </c>
      <c r="AL18" s="235">
        <f t="shared" si="3"/>
        <v>0</v>
      </c>
      <c r="AM18" s="235">
        <f t="shared" si="3"/>
        <v>2.4167918628980019E-3</v>
      </c>
      <c r="AN18" s="235">
        <f t="shared" si="3"/>
        <v>1.4378053460304707E-3</v>
      </c>
      <c r="AO18" s="235">
        <f t="shared" si="3"/>
        <v>1.9282968408194901E-3</v>
      </c>
      <c r="AP18" s="235">
        <f t="shared" si="3"/>
        <v>1.5092161320781762E-3</v>
      </c>
      <c r="AQ18" s="235">
        <f t="shared" si="3"/>
        <v>1.4179397708709255E-3</v>
      </c>
    </row>
    <row r="19" spans="23:43" x14ac:dyDescent="0.45">
      <c r="W19" t="s">
        <v>208</v>
      </c>
      <c r="X19" s="235">
        <f>X27/X$28</f>
        <v>0.93752410653043317</v>
      </c>
      <c r="Y19" s="235">
        <f t="shared" ref="Y19:AQ19" si="4">Y27/Y$28</f>
        <v>0.95364014556307275</v>
      </c>
      <c r="Z19" s="235">
        <f t="shared" si="4"/>
        <v>0.95044263501012183</v>
      </c>
      <c r="AA19" s="235">
        <f t="shared" si="4"/>
        <v>0.95267090704213842</v>
      </c>
      <c r="AB19" s="235">
        <f t="shared" si="4"/>
        <v>0.96438552148506018</v>
      </c>
      <c r="AC19" s="235">
        <f t="shared" si="4"/>
        <v>0.97204706494537341</v>
      </c>
      <c r="AD19" s="235">
        <f t="shared" si="4"/>
        <v>1</v>
      </c>
      <c r="AE19" s="235">
        <f t="shared" si="4"/>
        <v>1</v>
      </c>
      <c r="AF19" s="235">
        <f t="shared" si="4"/>
        <v>1</v>
      </c>
      <c r="AG19" s="235">
        <f t="shared" si="4"/>
        <v>1</v>
      </c>
      <c r="AH19" s="235">
        <f t="shared" si="4"/>
        <v>1</v>
      </c>
      <c r="AI19" s="235">
        <f t="shared" si="4"/>
        <v>1</v>
      </c>
      <c r="AJ19" s="235">
        <f t="shared" si="4"/>
        <v>1</v>
      </c>
      <c r="AK19" s="235">
        <f t="shared" si="4"/>
        <v>1</v>
      </c>
      <c r="AL19" s="235">
        <f t="shared" si="4"/>
        <v>1</v>
      </c>
      <c r="AM19" s="235">
        <f t="shared" si="4"/>
        <v>0.51568499638317555</v>
      </c>
      <c r="AN19" s="235">
        <f t="shared" si="4"/>
        <v>0.42946718910206272</v>
      </c>
      <c r="AO19" s="235">
        <f t="shared" si="4"/>
        <v>0.96444084681024478</v>
      </c>
      <c r="AP19" s="235">
        <f t="shared" si="4"/>
        <v>0.96582241428236371</v>
      </c>
      <c r="AQ19" s="235">
        <f t="shared" si="4"/>
        <v>0.96697517081185447</v>
      </c>
    </row>
    <row r="20" spans="23:43" x14ac:dyDescent="0.45">
      <c r="X20" s="233">
        <f>SUM(X15:X19)</f>
        <v>1</v>
      </c>
      <c r="Y20" s="233">
        <f t="shared" ref="Y20:AQ20" si="5">SUM(Y15:Y19)</f>
        <v>0.99999999999999989</v>
      </c>
      <c r="Z20" s="233">
        <f t="shared" si="5"/>
        <v>1</v>
      </c>
      <c r="AA20" s="233">
        <f t="shared" si="5"/>
        <v>0.99999999999999989</v>
      </c>
      <c r="AB20" s="233">
        <f t="shared" si="5"/>
        <v>1</v>
      </c>
      <c r="AC20" s="233">
        <f t="shared" si="5"/>
        <v>0.99999999999999989</v>
      </c>
      <c r="AD20" s="233">
        <f t="shared" si="5"/>
        <v>1</v>
      </c>
      <c r="AE20" s="233">
        <f t="shared" si="5"/>
        <v>1</v>
      </c>
      <c r="AF20" s="233">
        <f t="shared" si="5"/>
        <v>1</v>
      </c>
      <c r="AG20" s="233">
        <f t="shared" si="5"/>
        <v>1</v>
      </c>
      <c r="AH20" s="233">
        <f t="shared" si="5"/>
        <v>1</v>
      </c>
      <c r="AI20" s="233">
        <f t="shared" si="5"/>
        <v>1</v>
      </c>
      <c r="AJ20" s="233">
        <f t="shared" si="5"/>
        <v>1</v>
      </c>
      <c r="AK20" s="233">
        <f t="shared" si="5"/>
        <v>1</v>
      </c>
      <c r="AL20" s="233">
        <f t="shared" si="5"/>
        <v>1</v>
      </c>
      <c r="AM20" s="233">
        <f t="shared" si="5"/>
        <v>0.99999999999999978</v>
      </c>
      <c r="AN20" s="233">
        <f t="shared" si="5"/>
        <v>1</v>
      </c>
      <c r="AO20" s="233">
        <f t="shared" si="5"/>
        <v>1</v>
      </c>
      <c r="AP20" s="233">
        <f t="shared" si="5"/>
        <v>0.99999999999999989</v>
      </c>
      <c r="AQ20" s="233">
        <f t="shared" si="5"/>
        <v>1</v>
      </c>
    </row>
    <row r="22" spans="23:43" x14ac:dyDescent="0.45">
      <c r="X22" s="9">
        <v>2010</v>
      </c>
      <c r="Y22">
        <v>2011</v>
      </c>
      <c r="Z22">
        <v>2012</v>
      </c>
      <c r="AA22">
        <v>2013</v>
      </c>
      <c r="AB22">
        <v>2014</v>
      </c>
      <c r="AC22">
        <v>2015</v>
      </c>
      <c r="AD22">
        <v>2016</v>
      </c>
      <c r="AE22">
        <v>2017</v>
      </c>
      <c r="AF22">
        <v>2018</v>
      </c>
      <c r="AG22">
        <v>2019</v>
      </c>
      <c r="AH22">
        <v>2020</v>
      </c>
      <c r="AI22">
        <v>2021</v>
      </c>
      <c r="AJ22">
        <v>2022</v>
      </c>
      <c r="AK22" s="10">
        <v>2023</v>
      </c>
      <c r="AL22" s="20">
        <v>2024</v>
      </c>
      <c r="AM22" s="9">
        <v>2025</v>
      </c>
      <c r="AN22">
        <v>2026</v>
      </c>
      <c r="AO22">
        <v>2027</v>
      </c>
      <c r="AP22">
        <v>2028</v>
      </c>
      <c r="AQ22" s="10">
        <v>2029</v>
      </c>
    </row>
    <row r="23" spans="23:43" x14ac:dyDescent="0.45">
      <c r="W23" s="9" t="s">
        <v>283</v>
      </c>
      <c r="X23" s="86">
        <v>1082237.5873783808</v>
      </c>
      <c r="Y23" s="2">
        <v>834482.36615225172</v>
      </c>
      <c r="Z23" s="2">
        <v>875481.83336549497</v>
      </c>
      <c r="AA23" s="2">
        <v>902284.73783903033</v>
      </c>
      <c r="AB23" s="2">
        <v>1016848.8374724045</v>
      </c>
      <c r="AC23" s="2">
        <v>1002201.2336614399</v>
      </c>
      <c r="AD23" s="2">
        <v>0</v>
      </c>
      <c r="AE23" s="2">
        <v>0</v>
      </c>
      <c r="AF23" s="2">
        <v>0</v>
      </c>
      <c r="AG23" s="2">
        <v>0</v>
      </c>
      <c r="AH23" s="2">
        <v>0</v>
      </c>
      <c r="AI23" s="2">
        <v>0</v>
      </c>
      <c r="AJ23" s="2">
        <v>0</v>
      </c>
      <c r="AK23" s="87">
        <v>0</v>
      </c>
      <c r="AL23" s="109">
        <v>0</v>
      </c>
      <c r="AM23" s="86">
        <v>3145686.2298621675</v>
      </c>
      <c r="AN23" s="2">
        <v>2259174.8398323935</v>
      </c>
      <c r="AO23" s="2">
        <v>1522663.4498026194</v>
      </c>
      <c r="AP23" s="2">
        <v>1536152.0597728458</v>
      </c>
      <c r="AQ23" s="87">
        <v>1549640.669743072</v>
      </c>
    </row>
    <row r="24" spans="23:43" x14ac:dyDescent="0.45">
      <c r="W24" s="96" t="s">
        <v>209</v>
      </c>
      <c r="X24" s="86">
        <v>0</v>
      </c>
      <c r="Y24" s="2">
        <v>0</v>
      </c>
      <c r="Z24" s="2">
        <v>0</v>
      </c>
      <c r="AA24" s="2">
        <v>0</v>
      </c>
      <c r="AB24" s="2">
        <v>0</v>
      </c>
      <c r="AC24" s="2">
        <v>0</v>
      </c>
      <c r="AD24" s="2">
        <v>0</v>
      </c>
      <c r="AE24" s="2">
        <v>0</v>
      </c>
      <c r="AF24" s="2">
        <v>0</v>
      </c>
      <c r="AG24" s="2">
        <v>0</v>
      </c>
      <c r="AH24" s="2">
        <v>0</v>
      </c>
      <c r="AI24" s="2">
        <v>0</v>
      </c>
      <c r="AJ24" s="2">
        <v>0</v>
      </c>
      <c r="AK24" s="87">
        <v>0</v>
      </c>
      <c r="AL24" s="109">
        <v>0</v>
      </c>
      <c r="AM24" s="86">
        <v>35096000</v>
      </c>
      <c r="AN24" s="2">
        <v>55125000</v>
      </c>
      <c r="AO24" s="2">
        <v>40000</v>
      </c>
      <c r="AP24" s="2">
        <v>40000</v>
      </c>
      <c r="AQ24" s="87">
        <v>30000</v>
      </c>
    </row>
    <row r="25" spans="23:43" x14ac:dyDescent="0.45">
      <c r="W25" s="96" t="s">
        <v>210</v>
      </c>
      <c r="X25" s="86">
        <v>0</v>
      </c>
      <c r="Y25" s="2">
        <v>0</v>
      </c>
      <c r="Z25" s="2">
        <v>0</v>
      </c>
      <c r="AA25" s="2">
        <v>0</v>
      </c>
      <c r="AB25" s="2">
        <v>0</v>
      </c>
      <c r="AC25" s="2">
        <v>0</v>
      </c>
      <c r="AD25" s="2">
        <v>0</v>
      </c>
      <c r="AE25" s="2">
        <v>0</v>
      </c>
      <c r="AF25" s="2">
        <v>0</v>
      </c>
      <c r="AG25" s="2">
        <v>0</v>
      </c>
      <c r="AH25" s="2">
        <v>0</v>
      </c>
      <c r="AI25" s="2">
        <v>0</v>
      </c>
      <c r="AJ25" s="2">
        <v>0</v>
      </c>
      <c r="AK25" s="87">
        <v>0</v>
      </c>
      <c r="AL25" s="109">
        <v>0</v>
      </c>
      <c r="AM25" s="86">
        <v>640500</v>
      </c>
      <c r="AN25" s="2">
        <v>8000</v>
      </c>
      <c r="AO25" s="2">
        <v>7000</v>
      </c>
      <c r="AP25" s="2">
        <v>4000</v>
      </c>
      <c r="AQ25" s="87">
        <v>3000</v>
      </c>
    </row>
    <row r="26" spans="23:43" x14ac:dyDescent="0.45">
      <c r="W26" s="96" t="s">
        <v>213</v>
      </c>
      <c r="X26" s="9">
        <v>0</v>
      </c>
      <c r="Y26">
        <v>0</v>
      </c>
      <c r="Z26">
        <v>0</v>
      </c>
      <c r="AA26">
        <v>0</v>
      </c>
      <c r="AB26">
        <v>0</v>
      </c>
      <c r="AC26">
        <v>0</v>
      </c>
      <c r="AD26">
        <v>0</v>
      </c>
      <c r="AE26">
        <v>0</v>
      </c>
      <c r="AF26">
        <v>0</v>
      </c>
      <c r="AG26">
        <v>0</v>
      </c>
      <c r="AH26">
        <v>0</v>
      </c>
      <c r="AI26">
        <v>0</v>
      </c>
      <c r="AJ26">
        <v>0</v>
      </c>
      <c r="AK26" s="10">
        <v>0</v>
      </c>
      <c r="AL26" s="96">
        <v>0</v>
      </c>
      <c r="AM26" s="9">
        <v>195000</v>
      </c>
      <c r="AN26">
        <v>145000</v>
      </c>
      <c r="AO26">
        <v>90000</v>
      </c>
      <c r="AP26">
        <v>73000</v>
      </c>
      <c r="AQ26" s="10">
        <v>71000</v>
      </c>
    </row>
    <row r="27" spans="23:43" x14ac:dyDescent="0.45">
      <c r="W27" s="10" t="s">
        <v>208</v>
      </c>
      <c r="X27" s="2">
        <f>Expenses!C5</f>
        <v>16240245.17</v>
      </c>
      <c r="Y27" s="2">
        <f>Expenses!D5</f>
        <v>17165625.190000001</v>
      </c>
      <c r="Z27" s="2">
        <f>Expenses!E5</f>
        <v>16790546.890000001</v>
      </c>
      <c r="AA27" s="2">
        <f>Expenses!F5</f>
        <v>18161776.739999998</v>
      </c>
      <c r="AB27" s="2">
        <f>Expenses!G5</f>
        <v>27534708.84</v>
      </c>
      <c r="AC27" s="2">
        <f>Expenses!H5</f>
        <v>34850965.229999997</v>
      </c>
      <c r="AD27" s="2">
        <f>Expenses!I5</f>
        <v>35801430.420000002</v>
      </c>
      <c r="AE27" s="2">
        <f>Expenses!J5</f>
        <v>35593403.520000003</v>
      </c>
      <c r="AF27" s="2">
        <f>Expenses!K5</f>
        <v>36608079.399999999</v>
      </c>
      <c r="AG27" s="2">
        <f>Expenses!L5</f>
        <v>35736835.020000003</v>
      </c>
      <c r="AH27" s="2">
        <f>Expenses!M5</f>
        <v>31142954.199999999</v>
      </c>
      <c r="AI27" s="2">
        <f>Expenses!N5</f>
        <v>32410757.57</v>
      </c>
      <c r="AJ27" s="2">
        <f>Expenses!O5</f>
        <v>36409289.380000003</v>
      </c>
      <c r="AK27" s="2">
        <f>Expenses!P5</f>
        <v>38202929.5</v>
      </c>
      <c r="AL27" s="2">
        <f>Expenses!Q5</f>
        <v>39905609.252153851</v>
      </c>
      <c r="AM27" s="2">
        <f>Expenses!R5</f>
        <v>41608289.004307695</v>
      </c>
      <c r="AN27" s="2">
        <f>Expenses!S5</f>
        <v>43310968.756461546</v>
      </c>
      <c r="AO27" s="2">
        <f>Expenses!T5</f>
        <v>45013648.508615397</v>
      </c>
      <c r="AP27" s="2">
        <f>Expenses!U5</f>
        <v>46716328.260769248</v>
      </c>
      <c r="AQ27" s="2">
        <f>Expenses!V5</f>
        <v>48419008.012923092</v>
      </c>
    </row>
    <row r="28" spans="23:43" x14ac:dyDescent="0.45">
      <c r="W28" s="10" t="s">
        <v>214</v>
      </c>
      <c r="X28" s="2">
        <f>SUM(X23:X27)</f>
        <v>17322482.757378381</v>
      </c>
      <c r="Y28" s="2">
        <f t="shared" ref="Y28:AQ28" si="6">SUM(Y23:Y27)</f>
        <v>18000107.556152254</v>
      </c>
      <c r="Z28" s="2">
        <f t="shared" si="6"/>
        <v>17666028.723365497</v>
      </c>
      <c r="AA28" s="2">
        <f t="shared" si="6"/>
        <v>19064061.47783903</v>
      </c>
      <c r="AB28" s="2">
        <f t="shared" si="6"/>
        <v>28551557.677472405</v>
      </c>
      <c r="AC28" s="2">
        <f t="shared" si="6"/>
        <v>35853166.46366144</v>
      </c>
      <c r="AD28" s="2">
        <f t="shared" si="6"/>
        <v>35801430.420000002</v>
      </c>
      <c r="AE28" s="2">
        <f t="shared" si="6"/>
        <v>35593403.520000003</v>
      </c>
      <c r="AF28" s="2">
        <f t="shared" si="6"/>
        <v>36608079.399999999</v>
      </c>
      <c r="AG28" s="2">
        <f t="shared" si="6"/>
        <v>35736835.020000003</v>
      </c>
      <c r="AH28" s="2">
        <f t="shared" si="6"/>
        <v>31142954.199999999</v>
      </c>
      <c r="AI28" s="2">
        <f t="shared" si="6"/>
        <v>32410757.57</v>
      </c>
      <c r="AJ28" s="2">
        <f t="shared" si="6"/>
        <v>36409289.380000003</v>
      </c>
      <c r="AK28" s="2">
        <f t="shared" si="6"/>
        <v>38202929.5</v>
      </c>
      <c r="AL28" s="2">
        <f t="shared" si="6"/>
        <v>39905609.252153851</v>
      </c>
      <c r="AM28" s="2">
        <f t="shared" si="6"/>
        <v>80685475.234169871</v>
      </c>
      <c r="AN28" s="2">
        <f t="shared" si="6"/>
        <v>100848143.59629394</v>
      </c>
      <c r="AO28" s="2">
        <f t="shared" si="6"/>
        <v>46673311.958418019</v>
      </c>
      <c r="AP28" s="2">
        <f t="shared" si="6"/>
        <v>48369480.320542097</v>
      </c>
      <c r="AQ28" s="2">
        <f t="shared" si="6"/>
        <v>50072648.68266616</v>
      </c>
    </row>
    <row r="31" spans="23:43" x14ac:dyDescent="0.45">
      <c r="W31" s="31"/>
      <c r="X31" s="199">
        <v>2010</v>
      </c>
      <c r="Y31" s="31">
        <v>2011</v>
      </c>
      <c r="Z31" s="31">
        <v>2012</v>
      </c>
      <c r="AA31" s="31">
        <v>2013</v>
      </c>
      <c r="AB31" s="31">
        <v>2014</v>
      </c>
      <c r="AC31" s="31">
        <v>2015</v>
      </c>
      <c r="AD31" s="31">
        <v>2016</v>
      </c>
      <c r="AE31" s="31">
        <v>2017</v>
      </c>
      <c r="AF31" s="31">
        <v>2018</v>
      </c>
      <c r="AG31" s="31">
        <v>2019</v>
      </c>
      <c r="AH31" s="31">
        <v>2020</v>
      </c>
      <c r="AI31" s="31">
        <v>2021</v>
      </c>
      <c r="AJ31" s="31">
        <v>2022</v>
      </c>
      <c r="AK31" s="200">
        <v>2023</v>
      </c>
      <c r="AL31" s="201">
        <v>2024</v>
      </c>
      <c r="AM31" s="199">
        <v>2025</v>
      </c>
      <c r="AN31" s="31">
        <v>2026</v>
      </c>
      <c r="AO31" s="31">
        <v>2027</v>
      </c>
      <c r="AP31" s="31">
        <v>2028</v>
      </c>
      <c r="AQ31" s="200">
        <v>2029</v>
      </c>
    </row>
    <row r="32" spans="23:43" x14ac:dyDescent="0.45">
      <c r="W32" s="199" t="s">
        <v>217</v>
      </c>
      <c r="X32" s="5">
        <v>16262102.212621626</v>
      </c>
      <c r="Y32" s="5">
        <v>15039167.893847745</v>
      </c>
      <c r="Z32" s="5">
        <v>17380930.796634506</v>
      </c>
      <c r="AA32" s="5">
        <v>14685823.442160971</v>
      </c>
      <c r="AB32" s="5">
        <v>5307776.812527597</v>
      </c>
      <c r="AC32" s="5">
        <v>-3385509.9336614385</v>
      </c>
      <c r="AD32" s="5">
        <v>-2881569.5600000024</v>
      </c>
      <c r="AE32" s="5">
        <v>-3084736.5800000019</v>
      </c>
      <c r="AF32" s="5">
        <v>-4706046.4199999981</v>
      </c>
      <c r="AG32" s="5">
        <v>-1905812.8699999973</v>
      </c>
      <c r="AH32" s="5">
        <v>3521561.7699999996</v>
      </c>
      <c r="AI32" s="5">
        <v>1769167.4299999997</v>
      </c>
      <c r="AJ32" s="5">
        <v>-755819.42000000179</v>
      </c>
      <c r="AK32" s="5">
        <v>-2751588.5900000036</v>
      </c>
      <c r="AL32" s="5">
        <v>-5185648.1070481911</v>
      </c>
      <c r="AM32" s="5">
        <v>-5716702.6341839135</v>
      </c>
      <c r="AN32" s="5">
        <v>-13832782.56968604</v>
      </c>
      <c r="AO32" s="5">
        <v>42365727.504633896</v>
      </c>
      <c r="AP32" s="5">
        <v>42907730.795969993</v>
      </c>
      <c r="AQ32" s="5">
        <v>43682394.24762734</v>
      </c>
    </row>
    <row r="33" spans="23:43" x14ac:dyDescent="0.45">
      <c r="W33" s="199" t="s">
        <v>218</v>
      </c>
      <c r="X33" s="211">
        <v>0.34524914125678913</v>
      </c>
      <c r="Y33" s="211">
        <v>0.41408088029174378</v>
      </c>
      <c r="Z33" s="211">
        <v>0.45614658279158932</v>
      </c>
      <c r="AA33" s="211">
        <v>0.37396695259740265</v>
      </c>
      <c r="AB33" s="211">
        <v>0.11993192111576124</v>
      </c>
      <c r="AC33" s="211">
        <v>-7.7615363083021721E-2</v>
      </c>
      <c r="AD33" s="211">
        <v>-6.5564589451500704E-2</v>
      </c>
      <c r="AE33" s="211">
        <v>-6.8600129336496785E-2</v>
      </c>
      <c r="AF33" s="211">
        <v>-0.10345078509912504</v>
      </c>
      <c r="AG33" s="211">
        <v>-4.0991154721745839E-2</v>
      </c>
      <c r="AH33" s="211">
        <v>7.8496569299685251E-2</v>
      </c>
      <c r="AI33" s="211">
        <v>3.805068333649185E-2</v>
      </c>
      <c r="AJ33" s="211">
        <v>-1.6009746015243916E-2</v>
      </c>
      <c r="AK33" s="211">
        <v>-5.6746351050496142E-2</v>
      </c>
      <c r="AL33" s="211">
        <v>-0.10581893576184713</v>
      </c>
      <c r="AM33" s="211">
        <v>-6.1650456192848119E-2</v>
      </c>
      <c r="AN33" s="211">
        <v>-0.1333917995141273</v>
      </c>
      <c r="AO33" s="211">
        <v>0.39815647933732612</v>
      </c>
      <c r="AP33" s="211">
        <v>0.39248363012121185</v>
      </c>
      <c r="AQ33" s="211">
        <v>0.38834338062344581</v>
      </c>
    </row>
    <row r="35" spans="23:43" x14ac:dyDescent="0.45">
      <c r="W35" t="s">
        <v>264</v>
      </c>
      <c r="X35" t="s">
        <v>267</v>
      </c>
      <c r="Y35" t="s">
        <v>268</v>
      </c>
      <c r="Z35" t="s">
        <v>269</v>
      </c>
      <c r="AA35" t="s">
        <v>248</v>
      </c>
    </row>
    <row r="36" spans="23:43" x14ac:dyDescent="0.45">
      <c r="W36" t="s">
        <v>265</v>
      </c>
      <c r="X36" s="2">
        <f>'Strategies Evaluation'!R33</f>
        <v>4640653.2639458738</v>
      </c>
      <c r="Y36" s="232">
        <f>'Strategies Evaluation'!R36</f>
        <v>0.39611584679033718</v>
      </c>
      <c r="Z36" s="232">
        <f>'Strategies Evaluation'!R38</f>
        <v>0.72005901811684803</v>
      </c>
      <c r="AA36" s="2">
        <f>'Strategies Evaluation'!R48</f>
        <v>2.85188685105161</v>
      </c>
    </row>
    <row r="37" spans="23:43" x14ac:dyDescent="0.45">
      <c r="W37" t="s">
        <v>209</v>
      </c>
      <c r="X37" s="2">
        <f>'Strategies Evaluation'!R66</f>
        <v>163108318.04945517</v>
      </c>
      <c r="Y37" s="232">
        <f>'Strategies Evaluation'!R69</f>
        <v>0.60179320001099512</v>
      </c>
      <c r="Z37" s="269">
        <f>'Strategies Evaluation'!R71</f>
        <v>1.7118060876370689</v>
      </c>
      <c r="AA37" s="2">
        <f>'Strategies Evaluation'!R81</f>
        <v>4.1979154496476543</v>
      </c>
    </row>
    <row r="38" spans="23:43" x14ac:dyDescent="0.45">
      <c r="W38" t="s">
        <v>266</v>
      </c>
      <c r="X38" s="2">
        <f>'Strategies Evaluation'!R97</f>
        <v>13579296.166171245</v>
      </c>
      <c r="Y38" s="232">
        <f>'Strategies Evaluation'!R100</f>
        <v>0.67553445728262052</v>
      </c>
      <c r="Z38" s="232">
        <f>'Strategies Evaluation'!R102</f>
        <v>2.4925286648625633</v>
      </c>
      <c r="AA38" s="2">
        <f>'Strategies Evaluation'!R112</f>
        <v>2.579966302006063</v>
      </c>
    </row>
    <row r="39" spans="23:43" x14ac:dyDescent="0.45">
      <c r="W39" t="s">
        <v>213</v>
      </c>
      <c r="X39" s="2">
        <f>'Strategies Evaluation'!R129</f>
        <v>94785.129747669416</v>
      </c>
      <c r="Y39" s="232">
        <f>'Strategies Evaluation'!R131</f>
        <v>9.6690471492364427E-2</v>
      </c>
      <c r="Z39" s="232">
        <f>'Strategies Evaluation'!R133</f>
        <v>0.47392564873834708</v>
      </c>
      <c r="AA39" s="2">
        <f>'Strategies Evaluation'!R143</f>
        <v>2.5147718562943893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D54C-3382-4F77-A1DC-DA2FE1F0483C}">
  <dimension ref="A1:AL36"/>
  <sheetViews>
    <sheetView showGridLines="0" zoomScale="80" zoomScaleNormal="80" workbookViewId="0">
      <selection activeCell="V30" sqref="V30"/>
    </sheetView>
  </sheetViews>
  <sheetFormatPr defaultRowHeight="14.25" x14ac:dyDescent="0.45"/>
  <cols>
    <col min="1" max="1" width="28.3984375" customWidth="1"/>
    <col min="30" max="30" width="13.6640625" bestFit="1" customWidth="1"/>
    <col min="31" max="31" width="14.59765625" bestFit="1" customWidth="1"/>
    <col min="32" max="32" width="6.265625" bestFit="1" customWidth="1"/>
    <col min="33" max="33" width="14.265625" bestFit="1" customWidth="1"/>
    <col min="34" max="34" width="12.53125" bestFit="1" customWidth="1"/>
    <col min="38" max="38" width="14.59765625" bestFit="1" customWidth="1"/>
    <col min="39" max="39" width="9.73046875" bestFit="1" customWidth="1"/>
    <col min="40" max="40" width="11.73046875" bestFit="1" customWidth="1"/>
  </cols>
  <sheetData>
    <row r="1" spans="1:38" x14ac:dyDescent="0.45">
      <c r="A1" s="4" t="s">
        <v>279</v>
      </c>
      <c r="AD1" t="s">
        <v>264</v>
      </c>
      <c r="AE1" t="s">
        <v>267</v>
      </c>
      <c r="AF1" t="s">
        <v>268</v>
      </c>
      <c r="AG1" t="s">
        <v>269</v>
      </c>
      <c r="AH1" t="s">
        <v>248</v>
      </c>
    </row>
    <row r="2" spans="1:38" x14ac:dyDescent="0.45">
      <c r="AF2" s="269"/>
    </row>
    <row r="3" spans="1:38" x14ac:dyDescent="0.45">
      <c r="AF3" s="269"/>
    </row>
    <row r="4" spans="1:38" x14ac:dyDescent="0.45">
      <c r="AF4" s="269"/>
    </row>
    <row r="5" spans="1:38" x14ac:dyDescent="0.45">
      <c r="AF5" s="269"/>
    </row>
    <row r="6" spans="1:38" x14ac:dyDescent="0.45">
      <c r="AF6" s="269"/>
    </row>
    <row r="7" spans="1:38" x14ac:dyDescent="0.45">
      <c r="AF7" s="269"/>
    </row>
    <row r="8" spans="1:38" x14ac:dyDescent="0.45">
      <c r="A8" s="270" t="s">
        <v>276</v>
      </c>
      <c r="AE8" s="2"/>
      <c r="AF8" s="269"/>
      <c r="AG8" s="232"/>
      <c r="AH8" s="2"/>
      <c r="AL8" s="2"/>
    </row>
    <row r="9" spans="1:38" x14ac:dyDescent="0.45">
      <c r="A9" s="271" t="s">
        <v>281</v>
      </c>
      <c r="AE9" s="2"/>
      <c r="AF9" s="269"/>
      <c r="AG9" s="2"/>
      <c r="AH9" s="2"/>
      <c r="AL9" s="2"/>
    </row>
    <row r="10" spans="1:38" x14ac:dyDescent="0.45">
      <c r="AE10" s="2"/>
      <c r="AF10" s="269"/>
      <c r="AG10" s="232"/>
      <c r="AH10" s="2"/>
      <c r="AL10" s="2"/>
    </row>
    <row r="11" spans="1:38" x14ac:dyDescent="0.45">
      <c r="AE11" s="2"/>
      <c r="AF11" s="269"/>
      <c r="AG11" s="232"/>
      <c r="AH11" s="2"/>
      <c r="AL11" s="2"/>
    </row>
    <row r="12" spans="1:38" x14ac:dyDescent="0.45">
      <c r="AF12" s="269"/>
    </row>
    <row r="13" spans="1:38" x14ac:dyDescent="0.45">
      <c r="AF13" s="269"/>
    </row>
    <row r="14" spans="1:38" x14ac:dyDescent="0.45">
      <c r="AF14" s="269"/>
    </row>
    <row r="15" spans="1:38" x14ac:dyDescent="0.45">
      <c r="AF15" s="269"/>
      <c r="AL15" s="232"/>
    </row>
    <row r="16" spans="1:38" x14ac:dyDescent="0.45">
      <c r="AF16" s="269"/>
      <c r="AL16" s="2"/>
    </row>
    <row r="17" spans="1:38" x14ac:dyDescent="0.45">
      <c r="AF17" s="269"/>
      <c r="AL17" s="2"/>
    </row>
    <row r="18" spans="1:38" x14ac:dyDescent="0.45">
      <c r="AL18" s="2"/>
    </row>
    <row r="19" spans="1:38" x14ac:dyDescent="0.45">
      <c r="A19" s="270" t="s">
        <v>277</v>
      </c>
    </row>
    <row r="20" spans="1:38" x14ac:dyDescent="0.45">
      <c r="A20" s="271" t="s">
        <v>280</v>
      </c>
    </row>
    <row r="35" spans="1:1" x14ac:dyDescent="0.45">
      <c r="A35" s="270" t="s">
        <v>278</v>
      </c>
    </row>
    <row r="36" spans="1:1" x14ac:dyDescent="0.45">
      <c r="A36" s="271" t="s">
        <v>282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2fcae1c-50b5-4938-b112-e99c6aa208e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C24EF537009444CB23DA051B56094EA" ma:contentTypeVersion="15" ma:contentTypeDescription="Create a new document." ma:contentTypeScope="" ma:versionID="548e3b0b28d3bad9cf02a67e46d9131f">
  <xsd:schema xmlns:xsd="http://www.w3.org/2001/XMLSchema" xmlns:xs="http://www.w3.org/2001/XMLSchema" xmlns:p="http://schemas.microsoft.com/office/2006/metadata/properties" xmlns:ns3="92fcae1c-50b5-4938-b112-e99c6aa208e1" xmlns:ns4="786c44d4-1126-4165-9b99-5eaa21b74071" targetNamespace="http://schemas.microsoft.com/office/2006/metadata/properties" ma:root="true" ma:fieldsID="1ea5cea1da36426f4e8af9dcda9d1d65" ns3:_="" ns4:_="">
    <xsd:import namespace="92fcae1c-50b5-4938-b112-e99c6aa208e1"/>
    <xsd:import namespace="786c44d4-1126-4165-9b99-5eaa21b74071"/>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fcae1c-50b5-4938-b112-e99c6aa208e1"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6c44d4-1126-4165-9b99-5eaa21b74071"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274FEC-A75C-4A81-A9C6-2A13FAC1E884}">
  <ds:schemaRefs>
    <ds:schemaRef ds:uri="http://schemas.microsoft.com/sharepoint/v3/contenttype/forms"/>
  </ds:schemaRefs>
</ds:datastoreItem>
</file>

<file path=customXml/itemProps2.xml><?xml version="1.0" encoding="utf-8"?>
<ds:datastoreItem xmlns:ds="http://schemas.openxmlformats.org/officeDocument/2006/customXml" ds:itemID="{C16B0402-6313-4E49-BA47-7726701AEF3A}">
  <ds:schemaRefs>
    <ds:schemaRef ds:uri="http://purl.org/dc/terms/"/>
    <ds:schemaRef ds:uri="http://schemas.microsoft.com/office/2006/documentManagement/types"/>
    <ds:schemaRef ds:uri="92fcae1c-50b5-4938-b112-e99c6aa208e1"/>
    <ds:schemaRef ds:uri="http://schemas.openxmlformats.org/package/2006/metadata/core-properties"/>
    <ds:schemaRef ds:uri="http://www.w3.org/XML/1998/namespace"/>
    <ds:schemaRef ds:uri="http://purl.org/dc/elements/1.1/"/>
    <ds:schemaRef ds:uri="http://schemas.microsoft.com/office/infopath/2007/PartnerControls"/>
    <ds:schemaRef ds:uri="786c44d4-1126-4165-9b99-5eaa21b74071"/>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59978C3C-1C6E-482A-8793-7B93056B46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fcae1c-50b5-4938-b112-e99c6aa208e1"/>
    <ds:schemaRef ds:uri="786c44d4-1126-4165-9b99-5eaa21b740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Assumptions</vt:lpstr>
      <vt:lpstr>Revenue and Margins</vt:lpstr>
      <vt:lpstr>Expenses</vt:lpstr>
      <vt:lpstr>Capital Requirements</vt:lpstr>
      <vt:lpstr>CAP FS</vt:lpstr>
      <vt:lpstr>Strategies Evaluation</vt:lpstr>
      <vt:lpstr>Summary and Graphics</vt:lpstr>
      <vt:lpstr>Sensitivity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Ameck DOSSEH</dc:creator>
  <cp:lastModifiedBy>Ameck DOSSEH</cp:lastModifiedBy>
  <dcterms:created xsi:type="dcterms:W3CDTF">2024-11-29T06:17:55Z</dcterms:created>
  <dcterms:modified xsi:type="dcterms:W3CDTF">2024-12-02T14:49:51Z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0x0101005C24EF537009444CB23DA051B56094EA</vt:lpwstr>
  </property>
</Properties>
</file>