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8195" windowHeight="9015" firstSheet="8" activeTab="17"/>
  </bookViews>
  <sheets>
    <sheet name="Intro" sheetId="19" r:id="rId1"/>
    <sheet name="Fig6" sheetId="20" r:id="rId2"/>
    <sheet name="Budgets" sheetId="18" r:id="rId3"/>
    <sheet name="Data" sheetId="17" r:id="rId4"/>
    <sheet name="Data2" sheetId="16" r:id="rId5"/>
    <sheet name="Denomina" sheetId="15" r:id="rId6"/>
    <sheet name="Dom-nat" sheetId="14" r:id="rId7"/>
    <sheet name="Exchge" sheetId="13" r:id="rId8"/>
    <sheet name="Exchge2" sheetId="12" r:id="rId9"/>
    <sheet name="Exchge3" sheetId="11" r:id="rId10"/>
    <sheet name="Inflatio" sheetId="10" r:id="rId11"/>
    <sheet name="Metal" sheetId="9" r:id="rId12"/>
    <sheet name="Mint" sheetId="8" r:id="rId13"/>
    <sheet name="Ramel" sheetId="4" r:id="rId14"/>
    <sheet name="Ramel2" sheetId="5" r:id="rId15"/>
    <sheet name="Revoluti" sheetId="7" r:id="rId16"/>
    <sheet name="seignor" sheetId="6" r:id="rId17"/>
    <sheet name="Post-95" sheetId="21" r:id="rId18"/>
  </sheets>
  <definedNames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9">#REF!</definedName>
    <definedName name="_xlnm.Print_Area" localSheetId="10">#REF!</definedName>
    <definedName name="_xlnm.Print_Area" localSheetId="11">#REF!</definedName>
    <definedName name="_xlnm.Print_Area" localSheetId="12">#REF!</definedName>
    <definedName name="_xlnm.Print_Area" localSheetId="17">#REF!</definedName>
    <definedName name="_xlnm.Print_Area" localSheetId="13">#REF!</definedName>
    <definedName name="_xlnm.Print_Area" localSheetId="14">#REF!</definedName>
    <definedName name="_xlnm.Print_Area" localSheetId="15">#REF!</definedName>
    <definedName name="_xlnm.Print_Area" localSheetId="16">#REF!</definedName>
    <definedName name="_xlnm.Sheet_Title" localSheetId="2">"A"</definedName>
    <definedName name="_xlnm.Sheet_Title" localSheetId="3">"A"</definedName>
    <definedName name="_xlnm.Sheet_Title" localSheetId="4">"A"</definedName>
    <definedName name="_xlnm.Sheet_Title" localSheetId="5">"A"</definedName>
    <definedName name="_xlnm.Sheet_Title" localSheetId="6">"A"</definedName>
    <definedName name="_xlnm.Sheet_Title" localSheetId="7">"A"</definedName>
    <definedName name="_xlnm.Sheet_Title" localSheetId="8">"A"</definedName>
    <definedName name="_xlnm.Sheet_Title" localSheetId="9">"A"</definedName>
    <definedName name="_xlnm.Sheet_Title" localSheetId="10">"A"</definedName>
    <definedName name="_xlnm.Sheet_Title" localSheetId="11">"A"</definedName>
    <definedName name="_xlnm.Sheet_Title" localSheetId="12">"A"</definedName>
    <definedName name="_xlnm.Sheet_Title" localSheetId="17">"A"</definedName>
    <definedName name="_xlnm.Sheet_Title" localSheetId="13">"A"</definedName>
    <definedName name="_xlnm.Sheet_Title" localSheetId="14">"A"</definedName>
    <definedName name="_xlnm.Sheet_Title" localSheetId="15">"A"</definedName>
    <definedName name="_xlnm.Sheet_Title" localSheetId="16">"A"</definedName>
  </definedNames>
  <calcPr calcId="125725" iterate="1"/>
</workbook>
</file>

<file path=xl/calcChain.xml><?xml version="1.0" encoding="utf-8"?>
<calcChain xmlns="http://schemas.openxmlformats.org/spreadsheetml/2006/main">
  <c r="A38" i="21"/>
  <c r="A41" s="1"/>
  <c r="A44" s="1"/>
  <c r="A74"/>
  <c r="A77"/>
  <c r="A80" s="1"/>
  <c r="G92"/>
  <c r="G93"/>
  <c r="G94"/>
  <c r="G95"/>
  <c r="G96"/>
  <c r="G97"/>
  <c r="G98"/>
  <c r="G99"/>
  <c r="G100"/>
  <c r="E101"/>
  <c r="E102"/>
  <c r="E103"/>
  <c r="E105"/>
  <c r="E106"/>
  <c r="A110"/>
  <c r="A113" s="1"/>
  <c r="A116" s="1"/>
  <c r="A146"/>
  <c r="A149"/>
  <c r="A152" s="1"/>
  <c r="F18" i="6" l="1"/>
  <c r="F17"/>
  <c r="F16"/>
  <c r="F15"/>
  <c r="F14"/>
  <c r="F13"/>
  <c r="F12"/>
  <c r="F11"/>
  <c r="F10"/>
  <c r="F9"/>
  <c r="F8"/>
  <c r="F7"/>
  <c r="D20" i="20"/>
  <c r="D19"/>
  <c r="D18"/>
  <c r="D17"/>
  <c r="D16"/>
  <c r="D15"/>
  <c r="D14"/>
  <c r="D13"/>
  <c r="D12"/>
  <c r="D11"/>
  <c r="D10"/>
  <c r="D9"/>
  <c r="D21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3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23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22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"/>
  <c r="P10" i="18"/>
  <c r="P11"/>
  <c r="P12" s="1"/>
  <c r="P13" s="1"/>
  <c r="P14" s="1"/>
  <c r="P15" s="1"/>
  <c r="P16" s="1"/>
  <c r="P17" s="1"/>
  <c r="P18" s="1"/>
  <c r="P19" s="1"/>
  <c r="P20" s="1"/>
  <c r="P21" s="1"/>
  <c r="P22" s="1"/>
  <c r="P23" s="1"/>
  <c r="I6"/>
  <c r="J6"/>
  <c r="K6"/>
  <c r="L7"/>
  <c r="L8"/>
  <c r="L9" s="1"/>
  <c r="L10" s="1"/>
  <c r="I11"/>
  <c r="J11"/>
  <c r="M11" s="1"/>
  <c r="K11"/>
  <c r="L11"/>
  <c r="I12"/>
  <c r="J12"/>
  <c r="K12"/>
  <c r="L13" s="1"/>
  <c r="I13"/>
  <c r="J13"/>
  <c r="K13"/>
  <c r="L14" s="1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E22"/>
  <c r="I22"/>
  <c r="J22"/>
  <c r="K22"/>
  <c r="I23"/>
  <c r="J23"/>
  <c r="K23"/>
  <c r="I24"/>
  <c r="J24"/>
  <c r="M23" s="1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C35"/>
  <c r="I35" s="1"/>
  <c r="J35"/>
  <c r="C36"/>
  <c r="I36"/>
  <c r="J36"/>
  <c r="K36"/>
  <c r="C37"/>
  <c r="I37"/>
  <c r="J37"/>
  <c r="K37"/>
  <c r="C38"/>
  <c r="I38"/>
  <c r="J38"/>
  <c r="K38"/>
  <c r="C39"/>
  <c r="I39"/>
  <c r="J39"/>
  <c r="K39"/>
  <c r="C40"/>
  <c r="I40"/>
  <c r="J40"/>
  <c r="K40"/>
  <c r="C41"/>
  <c r="I41"/>
  <c r="J41"/>
  <c r="M35" s="1"/>
  <c r="K41"/>
  <c r="C42"/>
  <c r="I42"/>
  <c r="J42"/>
  <c r="K42"/>
  <c r="C43"/>
  <c r="I43"/>
  <c r="J43"/>
  <c r="K43"/>
  <c r="C44"/>
  <c r="I44"/>
  <c r="J44"/>
  <c r="K44"/>
  <c r="C45"/>
  <c r="I45"/>
  <c r="J45"/>
  <c r="K45"/>
  <c r="C46"/>
  <c r="I46"/>
  <c r="J46"/>
  <c r="K46"/>
  <c r="C47"/>
  <c r="I47"/>
  <c r="J47"/>
  <c r="K47"/>
  <c r="C48"/>
  <c r="I48" s="1"/>
  <c r="J48"/>
  <c r="M47" s="1"/>
  <c r="C49"/>
  <c r="I49" s="1"/>
  <c r="J49"/>
  <c r="C50"/>
  <c r="I50" s="1"/>
  <c r="J50"/>
  <c r="C51"/>
  <c r="I51" s="1"/>
  <c r="J51"/>
  <c r="C52"/>
  <c r="I52" s="1"/>
  <c r="J52"/>
  <c r="C53"/>
  <c r="I53" s="1"/>
  <c r="J53"/>
  <c r="C54"/>
  <c r="I54" s="1"/>
  <c r="J54"/>
  <c r="C55"/>
  <c r="I55" s="1"/>
  <c r="J55"/>
  <c r="C56"/>
  <c r="I56" s="1"/>
  <c r="J56"/>
  <c r="C57"/>
  <c r="I57" s="1"/>
  <c r="J57"/>
  <c r="C58"/>
  <c r="I58" s="1"/>
  <c r="J58"/>
  <c r="C59"/>
  <c r="I59" s="1"/>
  <c r="J59"/>
  <c r="C60"/>
  <c r="I60"/>
  <c r="J60"/>
  <c r="K60"/>
  <c r="C61"/>
  <c r="I61"/>
  <c r="J61"/>
  <c r="K61"/>
  <c r="C62"/>
  <c r="I62"/>
  <c r="J62"/>
  <c r="K62"/>
  <c r="B63"/>
  <c r="I63"/>
  <c r="J63"/>
  <c r="M59" s="1"/>
  <c r="K63"/>
  <c r="B64"/>
  <c r="I64"/>
  <c r="J64"/>
  <c r="K64"/>
  <c r="B65"/>
  <c r="I65"/>
  <c r="J65"/>
  <c r="K65"/>
  <c r="B66"/>
  <c r="I66"/>
  <c r="J66"/>
  <c r="K66"/>
  <c r="B68"/>
  <c r="I68"/>
  <c r="J68"/>
  <c r="K68"/>
  <c r="B69"/>
  <c r="I69"/>
  <c r="J69"/>
  <c r="K69"/>
  <c r="B70"/>
  <c r="I70"/>
  <c r="J70"/>
  <c r="K70"/>
  <c r="B71"/>
  <c r="I71"/>
  <c r="J71"/>
  <c r="K71"/>
  <c r="B72"/>
  <c r="I72"/>
  <c r="J72"/>
  <c r="K72"/>
  <c r="B73"/>
  <c r="I73"/>
  <c r="J73"/>
  <c r="K73"/>
  <c r="B74"/>
  <c r="I74"/>
  <c r="J74"/>
  <c r="K74"/>
  <c r="J75"/>
  <c r="M74" s="1"/>
  <c r="J76"/>
  <c r="J77"/>
  <c r="J78"/>
  <c r="J79"/>
  <c r="J80"/>
  <c r="J81"/>
  <c r="J82"/>
  <c r="J83"/>
  <c r="J84"/>
  <c r="J85"/>
  <c r="L10" i="17"/>
  <c r="L11"/>
  <c r="L12"/>
  <c r="L13"/>
  <c r="L14"/>
  <c r="L15"/>
  <c r="L16"/>
  <c r="A19"/>
  <c r="C19"/>
  <c r="E19"/>
  <c r="G19"/>
  <c r="H19" s="1"/>
  <c r="L19"/>
  <c r="C20"/>
  <c r="E20"/>
  <c r="L20" s="1"/>
  <c r="H20"/>
  <c r="J20"/>
  <c r="C21"/>
  <c r="E21"/>
  <c r="H21"/>
  <c r="J21"/>
  <c r="L21"/>
  <c r="C22"/>
  <c r="E22"/>
  <c r="L22" s="1"/>
  <c r="H22"/>
  <c r="J22"/>
  <c r="C23"/>
  <c r="E23"/>
  <c r="H23"/>
  <c r="J23"/>
  <c r="L23"/>
  <c r="C24"/>
  <c r="E24"/>
  <c r="L24" s="1"/>
  <c r="H24"/>
  <c r="J24"/>
  <c r="C25"/>
  <c r="E25"/>
  <c r="H25"/>
  <c r="J25"/>
  <c r="L25"/>
  <c r="C26"/>
  <c r="E26"/>
  <c r="L26" s="1"/>
  <c r="H26"/>
  <c r="J26"/>
  <c r="C27"/>
  <c r="E27"/>
  <c r="H27"/>
  <c r="J27"/>
  <c r="L27"/>
  <c r="C28"/>
  <c r="E28"/>
  <c r="L28" s="1"/>
  <c r="H28"/>
  <c r="J28"/>
  <c r="C29"/>
  <c r="E29"/>
  <c r="H29"/>
  <c r="J29"/>
  <c r="L29"/>
  <c r="C30"/>
  <c r="E30"/>
  <c r="L30" s="1"/>
  <c r="H30"/>
  <c r="J30"/>
  <c r="A31"/>
  <c r="A43" s="1"/>
  <c r="A55" s="1"/>
  <c r="A67" s="1"/>
  <c r="A79" s="1"/>
  <c r="A91" s="1"/>
  <c r="C31"/>
  <c r="E31"/>
  <c r="L31" s="1"/>
  <c r="H31"/>
  <c r="J31"/>
  <c r="C32"/>
  <c r="E32"/>
  <c r="H32"/>
  <c r="J32"/>
  <c r="L32"/>
  <c r="C33"/>
  <c r="E33"/>
  <c r="L33" s="1"/>
  <c r="H33"/>
  <c r="J33"/>
  <c r="C34"/>
  <c r="E34"/>
  <c r="H34"/>
  <c r="J34"/>
  <c r="L34"/>
  <c r="C35"/>
  <c r="E35"/>
  <c r="L35" s="1"/>
  <c r="H35"/>
  <c r="J35"/>
  <c r="C36"/>
  <c r="E36"/>
  <c r="H36"/>
  <c r="J36"/>
  <c r="L36"/>
  <c r="C37"/>
  <c r="E37"/>
  <c r="L37" s="1"/>
  <c r="H37"/>
  <c r="J37"/>
  <c r="G38"/>
  <c r="L38"/>
  <c r="H39"/>
  <c r="L39"/>
  <c r="G40"/>
  <c r="L40"/>
  <c r="G41"/>
  <c r="L41"/>
  <c r="G42"/>
  <c r="H42" s="1"/>
  <c r="L42"/>
  <c r="F43"/>
  <c r="G43"/>
  <c r="H43"/>
  <c r="L43"/>
  <c r="F44"/>
  <c r="G44"/>
  <c r="H44"/>
  <c r="L44"/>
  <c r="F45"/>
  <c r="G45"/>
  <c r="H45"/>
  <c r="L45"/>
  <c r="F46"/>
  <c r="G46"/>
  <c r="H46"/>
  <c r="L46"/>
  <c r="F47"/>
  <c r="G47"/>
  <c r="H47"/>
  <c r="L47"/>
  <c r="F48"/>
  <c r="G48"/>
  <c r="H48"/>
  <c r="L48"/>
  <c r="F49"/>
  <c r="G49"/>
  <c r="H49"/>
  <c r="L49"/>
  <c r="F50"/>
  <c r="G50"/>
  <c r="H50"/>
  <c r="L50"/>
  <c r="F51"/>
  <c r="G51"/>
  <c r="H51"/>
  <c r="L51"/>
  <c r="F52"/>
  <c r="G52"/>
  <c r="H52"/>
  <c r="L52"/>
  <c r="F53"/>
  <c r="G53"/>
  <c r="H53"/>
  <c r="L53"/>
  <c r="F54"/>
  <c r="F55" s="1"/>
  <c r="G54"/>
  <c r="H54"/>
  <c r="L54"/>
  <c r="G55"/>
  <c r="L55"/>
  <c r="G56"/>
  <c r="L56"/>
  <c r="G57"/>
  <c r="L57"/>
  <c r="G58"/>
  <c r="L58"/>
  <c r="K6" i="15"/>
  <c r="Z6"/>
  <c r="K7"/>
  <c r="Z7"/>
  <c r="K8"/>
  <c r="Z8"/>
  <c r="K9"/>
  <c r="Z9"/>
  <c r="K10"/>
  <c r="Z10"/>
  <c r="K11"/>
  <c r="Z11"/>
  <c r="B12"/>
  <c r="F12"/>
  <c r="I12"/>
  <c r="K12"/>
  <c r="M12"/>
  <c r="O12"/>
  <c r="P12"/>
  <c r="Q12"/>
  <c r="R12"/>
  <c r="T12"/>
  <c r="Z12"/>
  <c r="F13"/>
  <c r="I13"/>
  <c r="K13"/>
  <c r="M13"/>
  <c r="O13"/>
  <c r="P13"/>
  <c r="Q13"/>
  <c r="R13"/>
  <c r="T13"/>
  <c r="Z13"/>
  <c r="AC13"/>
  <c r="AE13"/>
  <c r="F14"/>
  <c r="I14"/>
  <c r="K14"/>
  <c r="M14"/>
  <c r="O14"/>
  <c r="P14"/>
  <c r="Q14"/>
  <c r="R14"/>
  <c r="T14"/>
  <c r="Z14"/>
  <c r="AC14"/>
  <c r="AE14"/>
  <c r="Z15"/>
  <c r="AB15"/>
  <c r="AC15"/>
  <c r="AE15"/>
  <c r="Z16"/>
  <c r="AC16"/>
  <c r="AE16"/>
  <c r="L17"/>
  <c r="Z17"/>
  <c r="AC17"/>
  <c r="AE17"/>
  <c r="A18"/>
  <c r="L18"/>
  <c r="Z18"/>
  <c r="AB18"/>
  <c r="AC18"/>
  <c r="AE18"/>
  <c r="L19"/>
  <c r="Z19"/>
  <c r="AC19"/>
  <c r="AE19"/>
  <c r="L20"/>
  <c r="Z20"/>
  <c r="AB20"/>
  <c r="AC20"/>
  <c r="AE20"/>
  <c r="L21"/>
  <c r="Z21"/>
  <c r="AC21"/>
  <c r="AE21"/>
  <c r="L22"/>
  <c r="Z22"/>
  <c r="AB22"/>
  <c r="AC22" s="1"/>
  <c r="AE22"/>
  <c r="L23"/>
  <c r="Z23"/>
  <c r="AC23"/>
  <c r="AE23"/>
  <c r="L24"/>
  <c r="Z24"/>
  <c r="AC24"/>
  <c r="AE24"/>
  <c r="Z25"/>
  <c r="AE25"/>
  <c r="B34"/>
  <c r="D34"/>
  <c r="F34"/>
  <c r="I34"/>
  <c r="K34"/>
  <c r="M34"/>
  <c r="B35"/>
  <c r="D35"/>
  <c r="F35"/>
  <c r="I35"/>
  <c r="K35"/>
  <c r="M35"/>
  <c r="B36"/>
  <c r="D36"/>
  <c r="F36"/>
  <c r="I36"/>
  <c r="K36"/>
  <c r="M36"/>
  <c r="R36"/>
  <c r="T36"/>
  <c r="B37"/>
  <c r="D37"/>
  <c r="F37"/>
  <c r="I37"/>
  <c r="K37"/>
  <c r="M37"/>
  <c r="O37"/>
  <c r="R37"/>
  <c r="T37"/>
  <c r="B38"/>
  <c r="D38"/>
  <c r="F38"/>
  <c r="I38"/>
  <c r="K38"/>
  <c r="M38"/>
  <c r="O38"/>
  <c r="P38"/>
  <c r="Q38"/>
  <c r="R38"/>
  <c r="T38"/>
  <c r="B39"/>
  <c r="D39"/>
  <c r="F39"/>
  <c r="I39"/>
  <c r="K39"/>
  <c r="M39"/>
  <c r="O39"/>
  <c r="P39"/>
  <c r="Q39"/>
  <c r="R39"/>
  <c r="T39"/>
  <c r="B40"/>
  <c r="D40"/>
  <c r="F40"/>
  <c r="I40"/>
  <c r="K40"/>
  <c r="M40"/>
  <c r="O40"/>
  <c r="P40"/>
  <c r="Q40"/>
  <c r="R40"/>
  <c r="T40"/>
  <c r="B41"/>
  <c r="C41"/>
  <c r="D41"/>
  <c r="E41"/>
  <c r="F41"/>
  <c r="G41"/>
  <c r="H41"/>
  <c r="I41"/>
  <c r="K41"/>
  <c r="M41"/>
  <c r="O41"/>
  <c r="P41"/>
  <c r="Q41"/>
  <c r="R41"/>
  <c r="T41"/>
  <c r="B42"/>
  <c r="C42"/>
  <c r="D42"/>
  <c r="E42"/>
  <c r="F42"/>
  <c r="G42"/>
  <c r="H42"/>
  <c r="I42"/>
  <c r="K42"/>
  <c r="M42"/>
  <c r="O42"/>
  <c r="P42"/>
  <c r="Q42"/>
  <c r="R42"/>
  <c r="T42"/>
  <c r="B43"/>
  <c r="C43"/>
  <c r="D43"/>
  <c r="E43"/>
  <c r="F43"/>
  <c r="G43"/>
  <c r="H43"/>
  <c r="I43"/>
  <c r="J43"/>
  <c r="K43"/>
  <c r="L43"/>
  <c r="M43"/>
  <c r="N43"/>
  <c r="O43"/>
  <c r="P43"/>
  <c r="Q43"/>
  <c r="R43"/>
  <c r="T43"/>
  <c r="U43"/>
  <c r="B44"/>
  <c r="C44"/>
  <c r="D44"/>
  <c r="E44"/>
  <c r="F44"/>
  <c r="G44"/>
  <c r="H44"/>
  <c r="I44"/>
  <c r="J44"/>
  <c r="K44"/>
  <c r="L44"/>
  <c r="M44"/>
  <c r="N44"/>
  <c r="O44"/>
  <c r="P44"/>
  <c r="Q44"/>
  <c r="R44"/>
  <c r="T44"/>
  <c r="U44"/>
  <c r="B45"/>
  <c r="C45"/>
  <c r="F45"/>
  <c r="G45"/>
  <c r="H45"/>
  <c r="I45"/>
  <c r="J45"/>
  <c r="K45"/>
  <c r="L45"/>
  <c r="M45"/>
  <c r="N45"/>
  <c r="O45"/>
  <c r="P45"/>
  <c r="Q45"/>
  <c r="R45"/>
  <c r="T45"/>
  <c r="U45"/>
  <c r="B46"/>
  <c r="C46"/>
  <c r="F46"/>
  <c r="G46"/>
  <c r="H46"/>
  <c r="I46"/>
  <c r="J46"/>
  <c r="K46"/>
  <c r="L46"/>
  <c r="M46"/>
  <c r="N46"/>
  <c r="O46"/>
  <c r="P46"/>
  <c r="Q46"/>
  <c r="R46"/>
  <c r="T46"/>
  <c r="U46"/>
  <c r="A47"/>
  <c r="B47"/>
  <c r="C47"/>
  <c r="F47"/>
  <c r="G47"/>
  <c r="H47"/>
  <c r="I47"/>
  <c r="J47"/>
  <c r="K47"/>
  <c r="L47"/>
  <c r="M47"/>
  <c r="N47"/>
  <c r="O47"/>
  <c r="P47"/>
  <c r="Q47"/>
  <c r="R47"/>
  <c r="S47"/>
  <c r="T47"/>
  <c r="U47"/>
  <c r="B48"/>
  <c r="C48"/>
  <c r="F48"/>
  <c r="G48"/>
  <c r="H48"/>
  <c r="I48"/>
  <c r="J48"/>
  <c r="K48"/>
  <c r="L48"/>
  <c r="M48"/>
  <c r="N48"/>
  <c r="O48"/>
  <c r="P48"/>
  <c r="Q48"/>
  <c r="R48"/>
  <c r="S48"/>
  <c r="T48"/>
  <c r="U48"/>
  <c r="B49"/>
  <c r="C49"/>
  <c r="F49"/>
  <c r="G49"/>
  <c r="H49"/>
  <c r="I49"/>
  <c r="J49"/>
  <c r="K49"/>
  <c r="L49"/>
  <c r="M49"/>
  <c r="N49"/>
  <c r="O49"/>
  <c r="P49"/>
  <c r="Q49"/>
  <c r="R49"/>
  <c r="S49"/>
  <c r="T49"/>
  <c r="U49"/>
  <c r="B50"/>
  <c r="C50"/>
  <c r="F50"/>
  <c r="G50"/>
  <c r="H50"/>
  <c r="I50"/>
  <c r="J50"/>
  <c r="K50"/>
  <c r="L50"/>
  <c r="M50"/>
  <c r="N50"/>
  <c r="O50"/>
  <c r="P50"/>
  <c r="Q50"/>
  <c r="R50"/>
  <c r="S50"/>
  <c r="T50"/>
  <c r="U50"/>
  <c r="B51"/>
  <c r="C51"/>
  <c r="F51"/>
  <c r="G51"/>
  <c r="H51"/>
  <c r="I51"/>
  <c r="J51"/>
  <c r="K51"/>
  <c r="L51"/>
  <c r="M51"/>
  <c r="N51"/>
  <c r="O51"/>
  <c r="P51"/>
  <c r="Q51"/>
  <c r="R51"/>
  <c r="S51"/>
  <c r="T51"/>
  <c r="U51"/>
  <c r="B52"/>
  <c r="C52"/>
  <c r="F52"/>
  <c r="G52"/>
  <c r="H52"/>
  <c r="I52"/>
  <c r="J52"/>
  <c r="K52"/>
  <c r="L52"/>
  <c r="M52"/>
  <c r="N52"/>
  <c r="O52"/>
  <c r="P52"/>
  <c r="Q52"/>
  <c r="R52"/>
  <c r="S52"/>
  <c r="T52"/>
  <c r="U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B54"/>
  <c r="C54"/>
  <c r="D54"/>
  <c r="E54"/>
  <c r="F54"/>
  <c r="G54"/>
  <c r="O54"/>
  <c r="P54"/>
  <c r="Q54"/>
  <c r="B57"/>
  <c r="C57"/>
  <c r="D57"/>
  <c r="E57"/>
  <c r="O57"/>
  <c r="P57"/>
  <c r="Q57"/>
  <c r="B58"/>
  <c r="C58"/>
  <c r="D58"/>
  <c r="E58"/>
  <c r="O58"/>
  <c r="P58"/>
  <c r="Q58"/>
  <c r="K64"/>
  <c r="K65"/>
  <c r="K66"/>
  <c r="K67"/>
  <c r="B75"/>
  <c r="E45" s="1"/>
  <c r="B76"/>
  <c r="D46" s="1"/>
  <c r="T76"/>
  <c r="A77"/>
  <c r="B77"/>
  <c r="D47" s="1"/>
  <c r="T77"/>
  <c r="B78"/>
  <c r="D48" s="1"/>
  <c r="T78"/>
  <c r="B79"/>
  <c r="D49" s="1"/>
  <c r="T79"/>
  <c r="B80"/>
  <c r="D50" s="1"/>
  <c r="T80"/>
  <c r="B81"/>
  <c r="D51" s="1"/>
  <c r="T81"/>
  <c r="B82"/>
  <c r="D52" s="1"/>
  <c r="T82"/>
  <c r="T83"/>
  <c r="L84"/>
  <c r="C7" i="14"/>
  <c r="L7"/>
  <c r="C8"/>
  <c r="E8"/>
  <c r="F8"/>
  <c r="G8"/>
  <c r="L8"/>
  <c r="C9"/>
  <c r="E9"/>
  <c r="F9"/>
  <c r="G9"/>
  <c r="L9"/>
  <c r="C10"/>
  <c r="E10"/>
  <c r="F10"/>
  <c r="G10"/>
  <c r="H10"/>
  <c r="L10"/>
  <c r="C11"/>
  <c r="E11"/>
  <c r="F11"/>
  <c r="G11"/>
  <c r="H11"/>
  <c r="L11"/>
  <c r="C12"/>
  <c r="E12"/>
  <c r="F12"/>
  <c r="G12"/>
  <c r="H12"/>
  <c r="L12"/>
  <c r="C13"/>
  <c r="E13"/>
  <c r="F13"/>
  <c r="G13"/>
  <c r="H13"/>
  <c r="L13"/>
  <c r="C14"/>
  <c r="E14"/>
  <c r="F14"/>
  <c r="G14"/>
  <c r="H14"/>
  <c r="L14"/>
  <c r="C15"/>
  <c r="E15"/>
  <c r="F15"/>
  <c r="G15"/>
  <c r="H15"/>
  <c r="L15"/>
  <c r="C16"/>
  <c r="E16"/>
  <c r="F16"/>
  <c r="G16"/>
  <c r="H16"/>
  <c r="L16"/>
  <c r="C17"/>
  <c r="E17"/>
  <c r="F17"/>
  <c r="G17"/>
  <c r="H17"/>
  <c r="L17"/>
  <c r="C18"/>
  <c r="E18"/>
  <c r="F18"/>
  <c r="G18"/>
  <c r="H18"/>
  <c r="L18"/>
  <c r="A19"/>
  <c r="C19"/>
  <c r="E19"/>
  <c r="F19"/>
  <c r="G19"/>
  <c r="H19"/>
  <c r="L19"/>
  <c r="C20"/>
  <c r="E20"/>
  <c r="F20"/>
  <c r="G20"/>
  <c r="H20"/>
  <c r="L20"/>
  <c r="C21"/>
  <c r="E21"/>
  <c r="F21"/>
  <c r="G21"/>
  <c r="H21"/>
  <c r="L21"/>
  <c r="C22"/>
  <c r="E22"/>
  <c r="F22"/>
  <c r="G22"/>
  <c r="H22"/>
  <c r="L22"/>
  <c r="C23"/>
  <c r="E23"/>
  <c r="F23"/>
  <c r="G23"/>
  <c r="H23"/>
  <c r="L23"/>
  <c r="C24"/>
  <c r="E24"/>
  <c r="F24"/>
  <c r="G24"/>
  <c r="H24"/>
  <c r="L24"/>
  <c r="C25"/>
  <c r="E25"/>
  <c r="F25"/>
  <c r="G25"/>
  <c r="H25"/>
  <c r="L25"/>
  <c r="G26"/>
  <c r="H26" s="1"/>
  <c r="L26"/>
  <c r="C27"/>
  <c r="E27"/>
  <c r="F27"/>
  <c r="G27"/>
  <c r="H27"/>
  <c r="L27"/>
  <c r="G28"/>
  <c r="H28" s="1"/>
  <c r="G29"/>
  <c r="H29"/>
  <c r="G30"/>
  <c r="H30"/>
  <c r="G31"/>
  <c r="H31"/>
  <c r="G32"/>
  <c r="H32"/>
  <c r="G33"/>
  <c r="H33"/>
  <c r="A43"/>
  <c r="D4" i="13"/>
  <c r="E4" s="1"/>
  <c r="F4"/>
  <c r="L4"/>
  <c r="M4"/>
  <c r="N4"/>
  <c r="T4"/>
  <c r="U4"/>
  <c r="V4"/>
  <c r="K59" i="18" l="1"/>
  <c r="K58"/>
  <c r="K57"/>
  <c r="K56"/>
  <c r="K55"/>
  <c r="K54"/>
  <c r="K53"/>
  <c r="K52"/>
  <c r="K51"/>
  <c r="K50"/>
  <c r="K49"/>
  <c r="K48"/>
  <c r="N74" s="1"/>
  <c r="K35"/>
  <c r="L12"/>
  <c r="H55" i="17"/>
  <c r="F56"/>
  <c r="E52" i="15"/>
  <c r="E51"/>
  <c r="E50"/>
  <c r="E49"/>
  <c r="E48"/>
  <c r="E47"/>
  <c r="E46"/>
  <c r="D45"/>
  <c r="AG4" i="13"/>
  <c r="AH4"/>
  <c r="D5"/>
  <c r="E5"/>
  <c r="F5"/>
  <c r="AG5"/>
  <c r="AH5" s="1"/>
  <c r="D6"/>
  <c r="E6" s="1"/>
  <c r="F6"/>
  <c r="AG6"/>
  <c r="AH6"/>
  <c r="D7"/>
  <c r="E7"/>
  <c r="F7"/>
  <c r="AG7"/>
  <c r="AH7" s="1"/>
  <c r="D8"/>
  <c r="E8" s="1"/>
  <c r="F8"/>
  <c r="AG8"/>
  <c r="AH8"/>
  <c r="D9"/>
  <c r="E9"/>
  <c r="F9"/>
  <c r="AG9"/>
  <c r="AH9" s="1"/>
  <c r="D10"/>
  <c r="E10"/>
  <c r="F10"/>
  <c r="AG10"/>
  <c r="AH10" s="1"/>
  <c r="D11"/>
  <c r="E11" s="1"/>
  <c r="F11"/>
  <c r="AG11"/>
  <c r="AH11"/>
  <c r="D12"/>
  <c r="E12"/>
  <c r="F12"/>
  <c r="AG12"/>
  <c r="AH12" s="1"/>
  <c r="D13"/>
  <c r="E13" s="1"/>
  <c r="F13"/>
  <c r="AG13"/>
  <c r="AH13"/>
  <c r="D14"/>
  <c r="E14"/>
  <c r="F14"/>
  <c r="AG14"/>
  <c r="AH14" s="1"/>
  <c r="D15"/>
  <c r="E15" s="1"/>
  <c r="F15"/>
  <c r="AG15"/>
  <c r="AH15"/>
  <c r="D16"/>
  <c r="E16"/>
  <c r="F16"/>
  <c r="AG16"/>
  <c r="AH16" s="1"/>
  <c r="D17"/>
  <c r="E17" s="1"/>
  <c r="F17"/>
  <c r="AG17"/>
  <c r="AH17"/>
  <c r="D18"/>
  <c r="E18"/>
  <c r="F18"/>
  <c r="AG18"/>
  <c r="AH18" s="1"/>
  <c r="D19"/>
  <c r="E19" s="1"/>
  <c r="F19"/>
  <c r="AG19"/>
  <c r="AH19"/>
  <c r="D20"/>
  <c r="E20"/>
  <c r="F20"/>
  <c r="AG20"/>
  <c r="AH20" s="1"/>
  <c r="A21"/>
  <c r="D21"/>
  <c r="E21"/>
  <c r="F21"/>
  <c r="AD21"/>
  <c r="AG21"/>
  <c r="AH21"/>
  <c r="D22"/>
  <c r="E22"/>
  <c r="F22"/>
  <c r="AG22"/>
  <c r="AH22" s="1"/>
  <c r="D23"/>
  <c r="E23" s="1"/>
  <c r="F23"/>
  <c r="AG23"/>
  <c r="AH23"/>
  <c r="D24"/>
  <c r="E24"/>
  <c r="F24"/>
  <c r="AG24"/>
  <c r="AH24" s="1"/>
  <c r="D25"/>
  <c r="E25" s="1"/>
  <c r="F25"/>
  <c r="AG25"/>
  <c r="AH25"/>
  <c r="D26"/>
  <c r="E26"/>
  <c r="F26"/>
  <c r="AG26"/>
  <c r="AH26" s="1"/>
  <c r="D27"/>
  <c r="E27" s="1"/>
  <c r="F27"/>
  <c r="AG27"/>
  <c r="AH27"/>
  <c r="D28"/>
  <c r="E28"/>
  <c r="F28"/>
  <c r="AG28"/>
  <c r="AH28" s="1"/>
  <c r="D29"/>
  <c r="E29" s="1"/>
  <c r="F29"/>
  <c r="AG29"/>
  <c r="AH29"/>
  <c r="D30"/>
  <c r="E30"/>
  <c r="F30"/>
  <c r="AG30"/>
  <c r="AH30" s="1"/>
  <c r="D31"/>
  <c r="E31" s="1"/>
  <c r="F31"/>
  <c r="AG31"/>
  <c r="AH31"/>
  <c r="D32"/>
  <c r="E32"/>
  <c r="F32"/>
  <c r="AG32"/>
  <c r="AH32" s="1"/>
  <c r="A33"/>
  <c r="D33"/>
  <c r="E33"/>
  <c r="F33"/>
  <c r="AD33"/>
  <c r="AG33"/>
  <c r="AH33"/>
  <c r="D34"/>
  <c r="E34" s="1"/>
  <c r="F34"/>
  <c r="AG34"/>
  <c r="AH34"/>
  <c r="D35"/>
  <c r="E35"/>
  <c r="F35"/>
  <c r="AG35"/>
  <c r="AH35" s="1"/>
  <c r="D36"/>
  <c r="E36" s="1"/>
  <c r="F36"/>
  <c r="AG36"/>
  <c r="AH36"/>
  <c r="D37"/>
  <c r="E37"/>
  <c r="F37"/>
  <c r="AG37"/>
  <c r="AH37"/>
  <c r="D38"/>
  <c r="E38"/>
  <c r="F38"/>
  <c r="AG38"/>
  <c r="AH38" s="1"/>
  <c r="D39"/>
  <c r="E39" s="1"/>
  <c r="F39"/>
  <c r="Y39"/>
  <c r="AA39"/>
  <c r="AG39"/>
  <c r="AH39"/>
  <c r="D40"/>
  <c r="E40"/>
  <c r="F40"/>
  <c r="AG40"/>
  <c r="AH40" s="1"/>
  <c r="D41"/>
  <c r="E41" s="1"/>
  <c r="F41"/>
  <c r="AG41"/>
  <c r="AH41"/>
  <c r="D42"/>
  <c r="E42"/>
  <c r="F42"/>
  <c r="AG42"/>
  <c r="AH42" s="1"/>
  <c r="D43"/>
  <c r="E43" s="1"/>
  <c r="F43"/>
  <c r="AG43"/>
  <c r="AH43"/>
  <c r="D44"/>
  <c r="E44"/>
  <c r="F44"/>
  <c r="AG44"/>
  <c r="AH44" s="1"/>
  <c r="A45"/>
  <c r="D45"/>
  <c r="E45"/>
  <c r="F45"/>
  <c r="AD45"/>
  <c r="AG45"/>
  <c r="AH45"/>
  <c r="D46"/>
  <c r="E46" s="1"/>
  <c r="F46"/>
  <c r="AG46"/>
  <c r="AH46"/>
  <c r="D47"/>
  <c r="E47"/>
  <c r="F47"/>
  <c r="AG47"/>
  <c r="AH47" s="1"/>
  <c r="D48"/>
  <c r="E48" s="1"/>
  <c r="F48"/>
  <c r="AG48"/>
  <c r="AH48"/>
  <c r="D49"/>
  <c r="E49"/>
  <c r="F49"/>
  <c r="AG49"/>
  <c r="AH49" s="1"/>
  <c r="D50"/>
  <c r="E50" s="1"/>
  <c r="F50"/>
  <c r="AG50"/>
  <c r="AH50"/>
  <c r="D51"/>
  <c r="E51"/>
  <c r="F51"/>
  <c r="AG51"/>
  <c r="AH51" s="1"/>
  <c r="AG52"/>
  <c r="AH52" s="1"/>
  <c r="AG53"/>
  <c r="AH53" s="1"/>
  <c r="AG54"/>
  <c r="AH54"/>
  <c r="AG55"/>
  <c r="AH55"/>
  <c r="AG56"/>
  <c r="AH56"/>
  <c r="A57"/>
  <c r="AD57"/>
  <c r="AG57"/>
  <c r="AH57"/>
  <c r="AG58"/>
  <c r="AH58" s="1"/>
  <c r="AG59"/>
  <c r="AH59" s="1"/>
  <c r="AG60"/>
  <c r="AH60" s="1"/>
  <c r="AG61"/>
  <c r="AH61"/>
  <c r="AG62"/>
  <c r="AH62"/>
  <c r="AG63"/>
  <c r="AH63"/>
  <c r="AG64"/>
  <c r="AH64" s="1"/>
  <c r="AG65"/>
  <c r="AH65" s="1"/>
  <c r="AG66"/>
  <c r="AH66"/>
  <c r="AG67"/>
  <c r="AH67"/>
  <c r="AG68"/>
  <c r="AH68"/>
  <c r="AD69"/>
  <c r="AG69"/>
  <c r="AH69" s="1"/>
  <c r="AI69" s="1"/>
  <c r="AG70"/>
  <c r="AH70"/>
  <c r="AG71"/>
  <c r="AH71"/>
  <c r="AG72"/>
  <c r="AH72"/>
  <c r="AG73"/>
  <c r="AH73"/>
  <c r="AG74"/>
  <c r="AH74"/>
  <c r="AG75"/>
  <c r="AH75"/>
  <c r="AG76"/>
  <c r="AH76"/>
  <c r="AG77"/>
  <c r="AH77"/>
  <c r="AG78"/>
  <c r="AH78"/>
  <c r="AG79"/>
  <c r="AH79"/>
  <c r="AG80"/>
  <c r="AH80"/>
  <c r="AE81"/>
  <c r="AG81"/>
  <c r="AH81" s="1"/>
  <c r="AD82"/>
  <c r="AG82"/>
  <c r="AH82"/>
  <c r="AG83"/>
  <c r="AH83"/>
  <c r="AI82" s="1"/>
  <c r="AG84"/>
  <c r="AH84"/>
  <c r="AG85"/>
  <c r="AH85"/>
  <c r="AG86"/>
  <c r="AH86"/>
  <c r="AG87"/>
  <c r="AH87"/>
  <c r="AG88"/>
  <c r="AH88"/>
  <c r="AG89"/>
  <c r="AH89"/>
  <c r="AG90"/>
  <c r="AH90"/>
  <c r="AG91"/>
  <c r="AH91"/>
  <c r="AG92"/>
  <c r="AH92"/>
  <c r="AG93"/>
  <c r="AH93"/>
  <c r="AG94"/>
  <c r="AH94"/>
  <c r="AG95"/>
  <c r="AH95"/>
  <c r="AF96"/>
  <c r="AH96"/>
  <c r="AF97"/>
  <c r="AH97"/>
  <c r="AH98"/>
  <c r="AH99"/>
  <c r="AH100"/>
  <c r="AH101"/>
  <c r="AB102"/>
  <c r="AH102"/>
  <c r="AB103"/>
  <c r="AH103"/>
  <c r="AB104"/>
  <c r="AH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T124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T273"/>
  <c r="AB273"/>
  <c r="AB274"/>
  <c r="AB275"/>
  <c r="AB276"/>
  <c r="T277"/>
  <c r="AB277"/>
  <c r="AB278"/>
  <c r="Y313"/>
  <c r="AA313"/>
  <c r="Y388"/>
  <c r="AA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B46" i="10"/>
  <c r="C46"/>
  <c r="D46"/>
  <c r="E46"/>
  <c r="F46"/>
  <c r="G46"/>
  <c r="I46"/>
  <c r="K46"/>
  <c r="L46"/>
  <c r="B47"/>
  <c r="C47"/>
  <c r="D47"/>
  <c r="E47"/>
  <c r="F47"/>
  <c r="G47"/>
  <c r="I47"/>
  <c r="K47"/>
  <c r="L47"/>
  <c r="B48"/>
  <c r="C48"/>
  <c r="D48"/>
  <c r="E48"/>
  <c r="L48" s="1"/>
  <c r="F48"/>
  <c r="G48"/>
  <c r="I48"/>
  <c r="K48"/>
  <c r="B49"/>
  <c r="C49"/>
  <c r="D49"/>
  <c r="E49"/>
  <c r="F49"/>
  <c r="G49"/>
  <c r="I49"/>
  <c r="K49"/>
  <c r="L49"/>
  <c r="B50"/>
  <c r="C50"/>
  <c r="D50"/>
  <c r="E50"/>
  <c r="F50"/>
  <c r="G50"/>
  <c r="I50"/>
  <c r="K50"/>
  <c r="L50"/>
  <c r="B51"/>
  <c r="C51"/>
  <c r="D51"/>
  <c r="E51"/>
  <c r="F51"/>
  <c r="G51"/>
  <c r="I51"/>
  <c r="K51"/>
  <c r="L51"/>
  <c r="B52"/>
  <c r="C52"/>
  <c r="D52"/>
  <c r="E52"/>
  <c r="F52"/>
  <c r="G52"/>
  <c r="L52" s="1"/>
  <c r="I52"/>
  <c r="K52"/>
  <c r="B53"/>
  <c r="C53"/>
  <c r="D53"/>
  <c r="E53"/>
  <c r="F53"/>
  <c r="G53"/>
  <c r="I53"/>
  <c r="J53"/>
  <c r="K53"/>
  <c r="L53"/>
  <c r="B54"/>
  <c r="C54"/>
  <c r="D54"/>
  <c r="E54"/>
  <c r="F54"/>
  <c r="G54"/>
  <c r="I54"/>
  <c r="J54"/>
  <c r="K54"/>
  <c r="L54"/>
  <c r="B55"/>
  <c r="C55"/>
  <c r="D55"/>
  <c r="E55"/>
  <c r="F55"/>
  <c r="G55"/>
  <c r="I55"/>
  <c r="J55"/>
  <c r="K55"/>
  <c r="L55"/>
  <c r="B56"/>
  <c r="C56"/>
  <c r="D56"/>
  <c r="E56"/>
  <c r="F56"/>
  <c r="G56"/>
  <c r="I56"/>
  <c r="J56"/>
  <c r="K56"/>
  <c r="L56"/>
  <c r="B57"/>
  <c r="C57"/>
  <c r="D57"/>
  <c r="E57"/>
  <c r="L57" s="1"/>
  <c r="F57"/>
  <c r="G57"/>
  <c r="I57"/>
  <c r="K57"/>
  <c r="B58"/>
  <c r="C58"/>
  <c r="K58"/>
  <c r="L58"/>
  <c r="B59"/>
  <c r="C59"/>
  <c r="K59"/>
  <c r="L59"/>
  <c r="B60"/>
  <c r="C60"/>
  <c r="D60"/>
  <c r="E60"/>
  <c r="L60" s="1"/>
  <c r="F60"/>
  <c r="G60"/>
  <c r="I60"/>
  <c r="K60"/>
  <c r="B61"/>
  <c r="C61"/>
  <c r="D61"/>
  <c r="E61"/>
  <c r="F61"/>
  <c r="G61"/>
  <c r="I61"/>
  <c r="K61"/>
  <c r="L61"/>
  <c r="B62"/>
  <c r="C62"/>
  <c r="D62"/>
  <c r="E62"/>
  <c r="L62" s="1"/>
  <c r="F62"/>
  <c r="G62"/>
  <c r="I62"/>
  <c r="K62"/>
  <c r="B63"/>
  <c r="C63"/>
  <c r="D63"/>
  <c r="E63"/>
  <c r="F63"/>
  <c r="G63"/>
  <c r="I63"/>
  <c r="K63"/>
  <c r="L63"/>
  <c r="B64"/>
  <c r="C64"/>
  <c r="D64"/>
  <c r="E64"/>
  <c r="F64"/>
  <c r="G64"/>
  <c r="I64"/>
  <c r="K64"/>
  <c r="L64"/>
  <c r="G7" i="9"/>
  <c r="H7"/>
  <c r="I7"/>
  <c r="L7"/>
  <c r="F8"/>
  <c r="G8"/>
  <c r="H8"/>
  <c r="I8"/>
  <c r="L8"/>
  <c r="F9"/>
  <c r="G9"/>
  <c r="H9"/>
  <c r="I9"/>
  <c r="L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L17"/>
  <c r="F18"/>
  <c r="G18"/>
  <c r="H18"/>
  <c r="I18"/>
  <c r="L18"/>
  <c r="F19"/>
  <c r="G19"/>
  <c r="H19"/>
  <c r="I19"/>
  <c r="L19"/>
  <c r="F20"/>
  <c r="G20"/>
  <c r="H20"/>
  <c r="I20"/>
  <c r="L20"/>
  <c r="F21"/>
  <c r="G21"/>
  <c r="H21"/>
  <c r="I21"/>
  <c r="L21"/>
  <c r="F22"/>
  <c r="G22"/>
  <c r="H22"/>
  <c r="I22"/>
  <c r="L22"/>
  <c r="F23"/>
  <c r="G23"/>
  <c r="I23"/>
  <c r="L23"/>
  <c r="F24"/>
  <c r="G24"/>
  <c r="H24"/>
  <c r="I24"/>
  <c r="L24"/>
  <c r="F25"/>
  <c r="G25"/>
  <c r="H25"/>
  <c r="I25"/>
  <c r="L25"/>
  <c r="F26"/>
  <c r="G26"/>
  <c r="I26"/>
  <c r="L26"/>
  <c r="F27"/>
  <c r="G27"/>
  <c r="I27"/>
  <c r="L27"/>
  <c r="F28"/>
  <c r="G28"/>
  <c r="I28"/>
  <c r="L28"/>
  <c r="F29"/>
  <c r="G29"/>
  <c r="I29"/>
  <c r="L29"/>
  <c r="F30"/>
  <c r="G30"/>
  <c r="I30"/>
  <c r="L30"/>
  <c r="F31"/>
  <c r="G31"/>
  <c r="I31"/>
  <c r="L31"/>
  <c r="F32"/>
  <c r="G32"/>
  <c r="I32"/>
  <c r="L32"/>
  <c r="E5" i="8"/>
  <c r="F5"/>
  <c r="B10"/>
  <c r="C10"/>
  <c r="E10"/>
  <c r="C12"/>
  <c r="E12"/>
  <c r="A16"/>
  <c r="A15" s="1"/>
  <c r="A14" s="1"/>
  <c r="A13" s="1"/>
  <c r="A12" s="1"/>
  <c r="A11" s="1"/>
  <c r="A10" s="1"/>
  <c r="A9" s="1"/>
  <c r="A8" s="1"/>
  <c r="A7" s="1"/>
  <c r="A6" s="1"/>
  <c r="A5" s="1"/>
  <c r="E91" i="7"/>
  <c r="A19" i="6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J30"/>
  <c r="A31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1"/>
  <c r="H41"/>
  <c r="F42"/>
  <c r="H42"/>
  <c r="J42"/>
  <c r="A43"/>
  <c r="F43"/>
  <c r="H43"/>
  <c r="F44"/>
  <c r="H44"/>
  <c r="F45"/>
  <c r="H45"/>
  <c r="F46"/>
  <c r="H46"/>
  <c r="F47"/>
  <c r="H47"/>
  <c r="F48"/>
  <c r="H48"/>
  <c r="F49"/>
  <c r="H49"/>
  <c r="F50"/>
  <c r="H50"/>
  <c r="F51"/>
  <c r="H51"/>
  <c r="F52"/>
  <c r="H52"/>
  <c r="F53"/>
  <c r="H53"/>
  <c r="F54"/>
  <c r="H54"/>
  <c r="J54"/>
  <c r="A55"/>
  <c r="F55"/>
  <c r="H55"/>
  <c r="F56"/>
  <c r="H56"/>
  <c r="F57"/>
  <c r="H57"/>
  <c r="F58"/>
  <c r="H58"/>
  <c r="F59"/>
  <c r="H59"/>
  <c r="F60"/>
  <c r="H60"/>
  <c r="I60"/>
  <c r="F61"/>
  <c r="H61" s="1"/>
  <c r="I61"/>
  <c r="F62"/>
  <c r="H62"/>
  <c r="I62"/>
  <c r="F63"/>
  <c r="H63" s="1"/>
  <c r="I63"/>
  <c r="F64"/>
  <c r="H64"/>
  <c r="I64"/>
  <c r="F65"/>
  <c r="H65" s="1"/>
  <c r="I65"/>
  <c r="F66"/>
  <c r="H66"/>
  <c r="I66"/>
  <c r="J66"/>
  <c r="A67"/>
  <c r="F67"/>
  <c r="H67" s="1"/>
  <c r="I67"/>
  <c r="F68"/>
  <c r="H68"/>
  <c r="I68"/>
  <c r="F69"/>
  <c r="H69" s="1"/>
  <c r="I69"/>
  <c r="F70"/>
  <c r="H70"/>
  <c r="I70"/>
  <c r="F71"/>
  <c r="H71" s="1"/>
  <c r="I71"/>
  <c r="F72"/>
  <c r="H72"/>
  <c r="I72"/>
  <c r="F73"/>
  <c r="H73" s="1"/>
  <c r="I73"/>
  <c r="F74"/>
  <c r="H74"/>
  <c r="I74"/>
  <c r="F75"/>
  <c r="H75" s="1"/>
  <c r="I75"/>
  <c r="F76"/>
  <c r="H76"/>
  <c r="I76"/>
  <c r="F77"/>
  <c r="H77" s="1"/>
  <c r="I77"/>
  <c r="F78"/>
  <c r="H78"/>
  <c r="I78"/>
  <c r="J78"/>
  <c r="A79"/>
  <c r="F79"/>
  <c r="H79" s="1"/>
  <c r="I79"/>
  <c r="F80"/>
  <c r="H80"/>
  <c r="I80"/>
  <c r="F81"/>
  <c r="H81" s="1"/>
  <c r="I81"/>
  <c r="F82"/>
  <c r="H82"/>
  <c r="I82"/>
  <c r="F83"/>
  <c r="H83"/>
  <c r="I83"/>
  <c r="E4" i="4"/>
  <c r="F4"/>
  <c r="J4"/>
  <c r="K4"/>
  <c r="L4" s="1"/>
  <c r="W4"/>
  <c r="E5"/>
  <c r="F5"/>
  <c r="J5"/>
  <c r="K5"/>
  <c r="L5" s="1"/>
  <c r="Q5"/>
  <c r="W5"/>
  <c r="E6"/>
  <c r="F6"/>
  <c r="J6"/>
  <c r="L6"/>
  <c r="P6" s="1"/>
  <c r="Q6"/>
  <c r="W6"/>
  <c r="E7"/>
  <c r="F7"/>
  <c r="J7"/>
  <c r="K7"/>
  <c r="L7"/>
  <c r="P7" s="1"/>
  <c r="Q7"/>
  <c r="R7" s="1"/>
  <c r="W7"/>
  <c r="E8"/>
  <c r="F8"/>
  <c r="J8"/>
  <c r="K8"/>
  <c r="L8" s="1"/>
  <c r="P8" s="1"/>
  <c r="Q8"/>
  <c r="W8"/>
  <c r="E9"/>
  <c r="F9"/>
  <c r="J9"/>
  <c r="Q9"/>
  <c r="R8" s="1"/>
  <c r="W9"/>
  <c r="E10"/>
  <c r="F10"/>
  <c r="J10"/>
  <c r="Q10"/>
  <c r="W10"/>
  <c r="E11"/>
  <c r="F11"/>
  <c r="J11"/>
  <c r="Q11"/>
  <c r="R10" s="1"/>
  <c r="W11"/>
  <c r="E12"/>
  <c r="F12"/>
  <c r="J12"/>
  <c r="Q12"/>
  <c r="W12"/>
  <c r="E13"/>
  <c r="F13"/>
  <c r="J13"/>
  <c r="Q13"/>
  <c r="R12" s="1"/>
  <c r="W13"/>
  <c r="E14"/>
  <c r="F14"/>
  <c r="J14"/>
  <c r="Q14"/>
  <c r="W14"/>
  <c r="E15"/>
  <c r="F15"/>
  <c r="J15"/>
  <c r="Q15"/>
  <c r="R14" s="1"/>
  <c r="W15"/>
  <c r="E16"/>
  <c r="F16"/>
  <c r="J16"/>
  <c r="Q16"/>
  <c r="R16"/>
  <c r="W16"/>
  <c r="E17"/>
  <c r="F17"/>
  <c r="J17"/>
  <c r="Q17"/>
  <c r="W17"/>
  <c r="E18"/>
  <c r="F18"/>
  <c r="J18"/>
  <c r="Q18"/>
  <c r="W18"/>
  <c r="E19"/>
  <c r="F19"/>
  <c r="J19"/>
  <c r="Q19"/>
  <c r="R17" s="1"/>
  <c r="W19"/>
  <c r="E20"/>
  <c r="F20"/>
  <c r="J20"/>
  <c r="Q20"/>
  <c r="W20"/>
  <c r="E21"/>
  <c r="F21"/>
  <c r="J21"/>
  <c r="Q21"/>
  <c r="R20" s="1"/>
  <c r="W21"/>
  <c r="E22"/>
  <c r="F22"/>
  <c r="J22"/>
  <c r="Q22"/>
  <c r="W22"/>
  <c r="E23"/>
  <c r="F23"/>
  <c r="J23"/>
  <c r="Q23"/>
  <c r="R22" s="1"/>
  <c r="W23"/>
  <c r="E24"/>
  <c r="F24"/>
  <c r="J24"/>
  <c r="Q24"/>
  <c r="W24"/>
  <c r="E25"/>
  <c r="F25"/>
  <c r="J25"/>
  <c r="Q25"/>
  <c r="R24" s="1"/>
  <c r="W25"/>
  <c r="E26"/>
  <c r="F26"/>
  <c r="J26"/>
  <c r="Q26"/>
  <c r="W26"/>
  <c r="E27"/>
  <c r="F27"/>
  <c r="J27"/>
  <c r="Q27"/>
  <c r="R26" s="1"/>
  <c r="W27"/>
  <c r="E28"/>
  <c r="F28"/>
  <c r="J28"/>
  <c r="Q28"/>
  <c r="R28"/>
  <c r="E29"/>
  <c r="F29"/>
  <c r="J29"/>
  <c r="Q29"/>
  <c r="R29"/>
  <c r="E30"/>
  <c r="F30"/>
  <c r="J30"/>
  <c r="Q30"/>
  <c r="R30"/>
  <c r="E31"/>
  <c r="F31"/>
  <c r="J31"/>
  <c r="Q31"/>
  <c r="R31"/>
  <c r="E32"/>
  <c r="F32"/>
  <c r="J32"/>
  <c r="Q32"/>
  <c r="R32"/>
  <c r="E33"/>
  <c r="F33"/>
  <c r="J33"/>
  <c r="Q33"/>
  <c r="R33"/>
  <c r="E34"/>
  <c r="F34"/>
  <c r="J34"/>
  <c r="Q34"/>
  <c r="R34"/>
  <c r="E35"/>
  <c r="F35"/>
  <c r="J35"/>
  <c r="Q35"/>
  <c r="R35"/>
  <c r="E36"/>
  <c r="F36"/>
  <c r="J36"/>
  <c r="Q36"/>
  <c r="R36"/>
  <c r="E37"/>
  <c r="F37"/>
  <c r="J37"/>
  <c r="Q37"/>
  <c r="R37"/>
  <c r="E38"/>
  <c r="F38"/>
  <c r="J38"/>
  <c r="Q38"/>
  <c r="R38"/>
  <c r="E39"/>
  <c r="F39"/>
  <c r="J39"/>
  <c r="Q39"/>
  <c r="R39"/>
  <c r="E40"/>
  <c r="F40"/>
  <c r="J40"/>
  <c r="Q40"/>
  <c r="R40"/>
  <c r="E41"/>
  <c r="F41"/>
  <c r="J41"/>
  <c r="Q41"/>
  <c r="R41"/>
  <c r="E42"/>
  <c r="F42"/>
  <c r="J42"/>
  <c r="Q42"/>
  <c r="R42"/>
  <c r="E43"/>
  <c r="F43"/>
  <c r="J43"/>
  <c r="Q43"/>
  <c r="V16" s="1"/>
  <c r="R43"/>
  <c r="E44"/>
  <c r="F44"/>
  <c r="J44"/>
  <c r="Q44"/>
  <c r="T17" s="1"/>
  <c r="R44"/>
  <c r="E45"/>
  <c r="F45"/>
  <c r="J45"/>
  <c r="Q45"/>
  <c r="R45"/>
  <c r="E46"/>
  <c r="F46"/>
  <c r="J46"/>
  <c r="Q46"/>
  <c r="R46"/>
  <c r="E47"/>
  <c r="F47"/>
  <c r="J47"/>
  <c r="Q47"/>
  <c r="R47"/>
  <c r="E48"/>
  <c r="F48"/>
  <c r="J48"/>
  <c r="Q48"/>
  <c r="R48"/>
  <c r="E49"/>
  <c r="F49"/>
  <c r="J49"/>
  <c r="Q49"/>
  <c r="R49"/>
  <c r="E50"/>
  <c r="F50"/>
  <c r="J50"/>
  <c r="Q50"/>
  <c r="R50"/>
  <c r="E51"/>
  <c r="F51"/>
  <c r="J51"/>
  <c r="Q51"/>
  <c r="R51"/>
  <c r="E52"/>
  <c r="F52"/>
  <c r="J52"/>
  <c r="Q52"/>
  <c r="R52"/>
  <c r="E53"/>
  <c r="F53"/>
  <c r="J53"/>
  <c r="Q53"/>
  <c r="R53"/>
  <c r="E54"/>
  <c r="F54"/>
  <c r="J54"/>
  <c r="Q54"/>
  <c r="R54"/>
  <c r="E55"/>
  <c r="F55"/>
  <c r="J55"/>
  <c r="Q55"/>
  <c r="R55"/>
  <c r="E56"/>
  <c r="F56"/>
  <c r="J56"/>
  <c r="Q56"/>
  <c r="R56"/>
  <c r="E57"/>
  <c r="F57"/>
  <c r="J57"/>
  <c r="Q57"/>
  <c r="R57"/>
  <c r="E58"/>
  <c r="F58"/>
  <c r="J58"/>
  <c r="Q58"/>
  <c r="R58"/>
  <c r="E59"/>
  <c r="F59"/>
  <c r="J59"/>
  <c r="Q59"/>
  <c r="E60"/>
  <c r="F60"/>
  <c r="J60"/>
  <c r="Q60"/>
  <c r="E61"/>
  <c r="F61"/>
  <c r="I61"/>
  <c r="J61"/>
  <c r="Q61"/>
  <c r="R59" s="1"/>
  <c r="E62"/>
  <c r="F62"/>
  <c r="I62"/>
  <c r="J62" s="1"/>
  <c r="E63"/>
  <c r="F63"/>
  <c r="I63"/>
  <c r="J63"/>
  <c r="Q63"/>
  <c r="E64"/>
  <c r="F64"/>
  <c r="I64"/>
  <c r="J64" s="1"/>
  <c r="E65"/>
  <c r="F65"/>
  <c r="I65"/>
  <c r="J65"/>
  <c r="Q65"/>
  <c r="E66"/>
  <c r="F66"/>
  <c r="I66"/>
  <c r="J66" s="1"/>
  <c r="E67"/>
  <c r="F67"/>
  <c r="I67"/>
  <c r="J67"/>
  <c r="Q67"/>
  <c r="E68"/>
  <c r="F68"/>
  <c r="I68"/>
  <c r="J68" s="1"/>
  <c r="E69"/>
  <c r="F69"/>
  <c r="I69"/>
  <c r="J69"/>
  <c r="Q69"/>
  <c r="E70"/>
  <c r="F70"/>
  <c r="I70"/>
  <c r="J70" s="1"/>
  <c r="E71"/>
  <c r="F71"/>
  <c r="I71"/>
  <c r="J71"/>
  <c r="Q71"/>
  <c r="E72"/>
  <c r="F72"/>
  <c r="I72"/>
  <c r="J72" s="1"/>
  <c r="E73"/>
  <c r="F73"/>
  <c r="I73"/>
  <c r="J73"/>
  <c r="R73"/>
  <c r="J74"/>
  <c r="M74"/>
  <c r="N74" s="1"/>
  <c r="R74"/>
  <c r="J75"/>
  <c r="M75"/>
  <c r="N75"/>
  <c r="R75"/>
  <c r="J76"/>
  <c r="M76"/>
  <c r="N76"/>
  <c r="R76"/>
  <c r="J77"/>
  <c r="M77"/>
  <c r="N77"/>
  <c r="J78"/>
  <c r="M78"/>
  <c r="N78" s="1"/>
  <c r="J79"/>
  <c r="M79"/>
  <c r="N79"/>
  <c r="J80"/>
  <c r="M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H56" i="17" l="1"/>
  <c r="F57"/>
  <c r="AI21" i="13"/>
  <c r="AI57"/>
  <c r="AI45"/>
  <c r="AI33"/>
  <c r="AI9"/>
  <c r="AI4"/>
  <c r="P5" i="4"/>
  <c r="R71"/>
  <c r="R67"/>
  <c r="R63"/>
  <c r="Q72"/>
  <c r="R72" s="1"/>
  <c r="Q70"/>
  <c r="R70" s="1"/>
  <c r="Q68"/>
  <c r="R68" s="1"/>
  <c r="Q66"/>
  <c r="R66" s="1"/>
  <c r="Q64"/>
  <c r="R64" s="1"/>
  <c r="Q62"/>
  <c r="R62" s="1"/>
  <c r="R61"/>
  <c r="R27"/>
  <c r="R25"/>
  <c r="R23"/>
  <c r="R21"/>
  <c r="R19"/>
  <c r="R15"/>
  <c r="R13"/>
  <c r="R11"/>
  <c r="R9"/>
  <c r="K9"/>
  <c r="R60"/>
  <c r="R18"/>
  <c r="H57" i="17" l="1"/>
  <c r="F58"/>
  <c r="H58" s="1"/>
  <c r="L9" i="4"/>
  <c r="P9" s="1"/>
  <c r="K10"/>
  <c r="R65"/>
  <c r="R69"/>
  <c r="L10" l="1"/>
  <c r="P10" s="1"/>
  <c r="K11"/>
  <c r="L11" l="1"/>
  <c r="P11" s="1"/>
  <c r="K12"/>
  <c r="L12" l="1"/>
  <c r="P12" s="1"/>
  <c r="K13"/>
  <c r="L13" l="1"/>
  <c r="P13" s="1"/>
  <c r="K14"/>
  <c r="L14" l="1"/>
  <c r="P14" s="1"/>
  <c r="K15"/>
  <c r="L15" l="1"/>
  <c r="P15" s="1"/>
  <c r="K16"/>
  <c r="K17" l="1"/>
  <c r="L16"/>
  <c r="P16" s="1"/>
  <c r="K18" l="1"/>
  <c r="L17"/>
  <c r="P17" s="1"/>
  <c r="L18" l="1"/>
  <c r="P18" s="1"/>
  <c r="K19"/>
  <c r="L19" l="1"/>
  <c r="P19" s="1"/>
  <c r="K20"/>
  <c r="L20" l="1"/>
  <c r="P20" s="1"/>
  <c r="K21"/>
  <c r="L21" l="1"/>
  <c r="P21" s="1"/>
  <c r="K22"/>
  <c r="L22" l="1"/>
  <c r="P22" s="1"/>
  <c r="K23"/>
  <c r="L23" l="1"/>
  <c r="P23" s="1"/>
  <c r="K24"/>
  <c r="L24" l="1"/>
  <c r="P24" s="1"/>
  <c r="K25"/>
  <c r="L25" l="1"/>
  <c r="P25" s="1"/>
  <c r="K26"/>
  <c r="L26" l="1"/>
  <c r="P26" s="1"/>
  <c r="K27"/>
  <c r="L27" l="1"/>
  <c r="P27" s="1"/>
  <c r="K28"/>
  <c r="K29" l="1"/>
  <c r="L28"/>
  <c r="P28" s="1"/>
  <c r="K30" l="1"/>
  <c r="L29"/>
  <c r="P29" s="1"/>
  <c r="K31" l="1"/>
  <c r="L30"/>
  <c r="P30" s="1"/>
  <c r="K32" l="1"/>
  <c r="L31"/>
  <c r="P31" s="1"/>
  <c r="K33" l="1"/>
  <c r="L32"/>
  <c r="P32" s="1"/>
  <c r="K34" l="1"/>
  <c r="L33"/>
  <c r="P33" s="1"/>
  <c r="K35" l="1"/>
  <c r="L34"/>
  <c r="P34" s="1"/>
  <c r="K36" l="1"/>
  <c r="L35"/>
  <c r="P35" s="1"/>
  <c r="K37" l="1"/>
  <c r="L36"/>
  <c r="P36" s="1"/>
  <c r="K38" l="1"/>
  <c r="L37"/>
  <c r="P37" s="1"/>
  <c r="K39" l="1"/>
  <c r="L38"/>
  <c r="P38" s="1"/>
  <c r="K40" l="1"/>
  <c r="L39"/>
  <c r="P39" s="1"/>
  <c r="K41" l="1"/>
  <c r="L40"/>
  <c r="P40" s="1"/>
  <c r="K42" l="1"/>
  <c r="L41"/>
  <c r="P41" s="1"/>
  <c r="K43" l="1"/>
  <c r="L42"/>
  <c r="P42" s="1"/>
  <c r="K44" l="1"/>
  <c r="L43"/>
  <c r="P43" s="1"/>
  <c r="K45" l="1"/>
  <c r="L44"/>
  <c r="P44" s="1"/>
  <c r="K46" l="1"/>
  <c r="L45"/>
  <c r="P45" s="1"/>
  <c r="K47" l="1"/>
  <c r="L46"/>
  <c r="P46" s="1"/>
  <c r="K48" l="1"/>
  <c r="L47"/>
  <c r="P47" s="1"/>
  <c r="K49" l="1"/>
  <c r="L48"/>
  <c r="P48" s="1"/>
  <c r="K50" l="1"/>
  <c r="L49"/>
  <c r="P49" s="1"/>
  <c r="K51" l="1"/>
  <c r="L50"/>
  <c r="P50" s="1"/>
  <c r="K52" l="1"/>
  <c r="L51"/>
  <c r="P51" s="1"/>
  <c r="K53" l="1"/>
  <c r="L52"/>
  <c r="P52" s="1"/>
  <c r="K54" l="1"/>
  <c r="L53"/>
  <c r="P53" s="1"/>
  <c r="K55" l="1"/>
  <c r="L54"/>
  <c r="P54" s="1"/>
  <c r="K56" l="1"/>
  <c r="L55"/>
  <c r="P55" s="1"/>
  <c r="K57" l="1"/>
  <c r="L56"/>
  <c r="P56" s="1"/>
  <c r="K58" l="1"/>
  <c r="L57"/>
  <c r="P57" s="1"/>
  <c r="K59" l="1"/>
  <c r="L58"/>
  <c r="P58" s="1"/>
  <c r="K60" l="1"/>
  <c r="L59"/>
  <c r="P59" s="1"/>
  <c r="L60" l="1"/>
  <c r="P60" s="1"/>
  <c r="K61"/>
  <c r="L61" l="1"/>
  <c r="P61" s="1"/>
  <c r="K62"/>
  <c r="K63" l="1"/>
  <c r="L62"/>
  <c r="P62" s="1"/>
  <c r="L63" l="1"/>
  <c r="P63" s="1"/>
  <c r="K64"/>
  <c r="K65" l="1"/>
  <c r="L64"/>
  <c r="P64" s="1"/>
  <c r="L65" l="1"/>
  <c r="P65" s="1"/>
  <c r="K66"/>
  <c r="K67" l="1"/>
  <c r="L66"/>
  <c r="P66" s="1"/>
  <c r="L67" l="1"/>
  <c r="P67" s="1"/>
  <c r="K68"/>
  <c r="K69" l="1"/>
  <c r="L68"/>
  <c r="P68" s="1"/>
  <c r="L69" l="1"/>
  <c r="P69" s="1"/>
  <c r="K70"/>
  <c r="K71" l="1"/>
  <c r="L70"/>
  <c r="P70" s="1"/>
  <c r="L71" l="1"/>
  <c r="P71" s="1"/>
  <c r="K72"/>
  <c r="K73" l="1"/>
  <c r="L72"/>
  <c r="P72" s="1"/>
  <c r="L73" l="1"/>
  <c r="P73" s="1"/>
  <c r="K74"/>
  <c r="K75" l="1"/>
  <c r="L74"/>
</calcChain>
</file>

<file path=xl/sharedStrings.xml><?xml version="1.0" encoding="utf-8"?>
<sst xmlns="http://schemas.openxmlformats.org/spreadsheetml/2006/main" count="1497" uniqueCount="335">
  <si>
    <t>Nov</t>
  </si>
  <si>
    <t>Oct</t>
  </si>
  <si>
    <t>Sep</t>
  </si>
  <si>
    <t>Aug</t>
  </si>
  <si>
    <t>Jul</t>
  </si>
  <si>
    <t>Jun</t>
  </si>
  <si>
    <t>8 flor</t>
  </si>
  <si>
    <t>May</t>
  </si>
  <si>
    <t>1 flor</t>
  </si>
  <si>
    <t>21</t>
  </si>
  <si>
    <t>11</t>
  </si>
  <si>
    <t>Apr</t>
  </si>
  <si>
    <t>1 germ</t>
  </si>
  <si>
    <t>Mar</t>
  </si>
  <si>
    <t>1 vent</t>
  </si>
  <si>
    <t>Feb</t>
  </si>
  <si>
    <t>1 pluv</t>
  </si>
  <si>
    <t>1 niv</t>
  </si>
  <si>
    <t>Dec</t>
  </si>
  <si>
    <t>1 frim</t>
  </si>
  <si>
    <t>1 brum</t>
  </si>
  <si>
    <t>1 vend V</t>
  </si>
  <si>
    <t>1 fruct</t>
  </si>
  <si>
    <t>1 therm</t>
  </si>
  <si>
    <t>1 mess</t>
  </si>
  <si>
    <t>1 prair</t>
  </si>
  <si>
    <t>1 vend IV</t>
  </si>
  <si>
    <t>flor</t>
  </si>
  <si>
    <t>germ</t>
  </si>
  <si>
    <t>vent</t>
  </si>
  <si>
    <t>pluv</t>
  </si>
  <si>
    <t>niv</t>
  </si>
  <si>
    <t>frim</t>
  </si>
  <si>
    <t>brum</t>
  </si>
  <si>
    <t>vend V</t>
  </si>
  <si>
    <t>fruct</t>
  </si>
  <si>
    <t>therm</t>
  </si>
  <si>
    <t>mess</t>
  </si>
  <si>
    <t>prair</t>
  </si>
  <si>
    <t>vend IV</t>
  </si>
  <si>
    <t>1 vend III</t>
  </si>
  <si>
    <t>vend III</t>
  </si>
  <si>
    <t xml:space="preserve">21 </t>
  </si>
  <si>
    <t>16 flor II</t>
  </si>
  <si>
    <t>May 1794</t>
  </si>
  <si>
    <t>date</t>
  </si>
  <si>
    <t>data</t>
  </si>
  <si>
    <t>mandat/assignat exchg 16-25 prair IV</t>
  </si>
  <si>
    <t>(m-m(-1))/p</t>
  </si>
  <si>
    <t>mdt+assign</t>
  </si>
  <si>
    <t xml:space="preserve">  value</t>
  </si>
  <si>
    <t>circ</t>
  </si>
  <si>
    <t>my burnings</t>
  </si>
  <si>
    <t>price</t>
  </si>
  <si>
    <t>mandat</t>
  </si>
  <si>
    <t>seignorage</t>
  </si>
  <si>
    <t>id. mandat</t>
  </si>
  <si>
    <t>circ+burng</t>
  </si>
  <si>
    <t>burngs</t>
  </si>
  <si>
    <t xml:space="preserve">  real</t>
  </si>
  <si>
    <t>rectified</t>
  </si>
  <si>
    <t>Ramel's</t>
  </si>
  <si>
    <t>(Bailleul for mandat price after fructidor)</t>
  </si>
  <si>
    <t>Ramel data</t>
  </si>
  <si>
    <t>price_mand</t>
  </si>
  <si>
    <t>circ_mand</t>
  </si>
  <si>
    <t>price_assign</t>
  </si>
  <si>
    <t>circ_assign</t>
  </si>
  <si>
    <t>ramel data</t>
  </si>
  <si>
    <t>Bailleul</t>
  </si>
  <si>
    <t>ramel</t>
  </si>
  <si>
    <t>2-mth avg</t>
  </si>
  <si>
    <t>gold(TSP)</t>
  </si>
  <si>
    <t>avg83(TSP)</t>
  </si>
  <si>
    <t>burned</t>
  </si>
  <si>
    <t/>
  </si>
  <si>
    <t>not</t>
  </si>
  <si>
    <t>deflated</t>
  </si>
  <si>
    <t>assign</t>
  </si>
  <si>
    <t>monthly values</t>
  </si>
  <si>
    <t>Bailleul figures</t>
  </si>
  <si>
    <t>rate w/depreciation</t>
  </si>
  <si>
    <t>rate</t>
  </si>
  <si>
    <t>Indes</t>
  </si>
  <si>
    <t>francs</t>
  </si>
  <si>
    <t>livres</t>
  </si>
  <si>
    <t>total 2</t>
  </si>
  <si>
    <t>total 1</t>
  </si>
  <si>
    <t>copper</t>
  </si>
  <si>
    <t>silver</t>
  </si>
  <si>
    <t>gold</t>
  </si>
  <si>
    <t>Morineau : les frappes monetaires...in :Etudes d'Histoire Monetaire. Lille 1984</t>
  </si>
  <si>
    <t>minting of gold and silver in France. source : Barbara Ernst (les monnaies francaises, 1795-1848. 1970) AP 38.213 (1791)</t>
  </si>
  <si>
    <t>domestic</t>
  </si>
  <si>
    <t>abroad</t>
  </si>
  <si>
    <t>loss</t>
  </si>
  <si>
    <t>assignat</t>
  </si>
  <si>
    <t>depense numeraire</t>
  </si>
  <si>
    <t>market price</t>
  </si>
  <si>
    <t>total</t>
  </si>
  <si>
    <t>purchases of metal by the Treasury (BN Lf.158.19)</t>
  </si>
  <si>
    <t xml:space="preserve"> gold</t>
  </si>
  <si>
    <t>vend</t>
  </si>
  <si>
    <t>h. olive</t>
  </si>
  <si>
    <t xml:space="preserve"> chandelle</t>
  </si>
  <si>
    <t xml:space="preserve"> savon fabr</t>
  </si>
  <si>
    <t xml:space="preserve">savon Mar. </t>
  </si>
  <si>
    <t>sucre Orl</t>
  </si>
  <si>
    <t>sucre Hbg</t>
  </si>
  <si>
    <t>cafe</t>
  </si>
  <si>
    <t>hambg FX</t>
  </si>
  <si>
    <t>germ III</t>
  </si>
  <si>
    <t>Moniteur</t>
  </si>
  <si>
    <t>prairial</t>
  </si>
  <si>
    <t>mai</t>
  </si>
  <si>
    <t>floreal</t>
  </si>
  <si>
    <t>avril</t>
  </si>
  <si>
    <t>germinal</t>
  </si>
  <si>
    <t>mars</t>
  </si>
  <si>
    <t>ventose</t>
  </si>
  <si>
    <t>fevrier</t>
  </si>
  <si>
    <t>pluviose</t>
  </si>
  <si>
    <t>janvier</t>
  </si>
  <si>
    <t>nivose</t>
  </si>
  <si>
    <t>decembre</t>
  </si>
  <si>
    <t>frimaire</t>
  </si>
  <si>
    <t>novembre</t>
  </si>
  <si>
    <t>brumaire</t>
  </si>
  <si>
    <t>octobre</t>
  </si>
  <si>
    <t>vendemiaire</t>
  </si>
  <si>
    <t>jour compl.</t>
  </si>
  <si>
    <t>septembre</t>
  </si>
  <si>
    <t>fructidor</t>
  </si>
  <si>
    <t>aout</t>
  </si>
  <si>
    <t>thermidor</t>
  </si>
  <si>
    <t>juillet</t>
  </si>
  <si>
    <t>messidor</t>
  </si>
  <si>
    <t>juin</t>
  </si>
  <si>
    <t>avril 1795</t>
  </si>
  <si>
    <t>26 vent</t>
  </si>
  <si>
    <t>Hamburg</t>
  </si>
  <si>
    <t>1er j.c.</t>
  </si>
  <si>
    <t>Hambourg</t>
  </si>
  <si>
    <t>jours com</t>
  </si>
  <si>
    <t>(mandat)</t>
  </si>
  <si>
    <t xml:space="preserve"> </t>
  </si>
  <si>
    <t>Ma</t>
  </si>
  <si>
    <t>average</t>
  </si>
  <si>
    <t>(&gt;0 =&gt; gold cheaper in Paris)</t>
  </si>
  <si>
    <t>(end of month)</t>
  </si>
  <si>
    <t>using mint price</t>
  </si>
  <si>
    <t>(32louis/mc 22K)</t>
  </si>
  <si>
    <t>bullion</t>
  </si>
  <si>
    <t>(gold)</t>
  </si>
  <si>
    <t>(silver)</t>
  </si>
  <si>
    <t>(Bouchary)</t>
  </si>
  <si>
    <t>premium</t>
  </si>
  <si>
    <t>Paris</t>
  </si>
  <si>
    <t>Basel</t>
  </si>
  <si>
    <t>gold/silver</t>
  </si>
  <si>
    <t xml:space="preserve">silver </t>
  </si>
  <si>
    <t>exchge</t>
  </si>
  <si>
    <t>Sept.15</t>
  </si>
  <si>
    <t>burned/emitted</t>
  </si>
  <si>
    <t>emission</t>
  </si>
  <si>
    <t>circulat</t>
  </si>
  <si>
    <t>fruits</t>
  </si>
  <si>
    <t>capitaux</t>
  </si>
  <si>
    <t>revenus :</t>
  </si>
  <si>
    <t>Comptes de la Caisse de l'Extraordinaire (Lf.158.3)</t>
  </si>
  <si>
    <t>(echanges)</t>
  </si>
  <si>
    <t xml:space="preserve">  50 l</t>
  </si>
  <si>
    <t xml:space="preserve">  60 l</t>
  </si>
  <si>
    <t xml:space="preserve"> 100 l</t>
  </si>
  <si>
    <t xml:space="preserve"> 200 l</t>
  </si>
  <si>
    <t xml:space="preserve"> 300 l</t>
  </si>
  <si>
    <t xml:space="preserve"> 500 l</t>
  </si>
  <si>
    <t xml:space="preserve">   50 l</t>
  </si>
  <si>
    <t xml:space="preserve">   60 l</t>
  </si>
  <si>
    <t xml:space="preserve">   70 l</t>
  </si>
  <si>
    <t xml:space="preserve">   80 l</t>
  </si>
  <si>
    <t xml:space="preserve">   90 l</t>
  </si>
  <si>
    <t xml:space="preserve">  100 l</t>
  </si>
  <si>
    <t>2000 l</t>
  </si>
  <si>
    <t xml:space="preserve">  200 l</t>
  </si>
  <si>
    <t xml:space="preserve">  300 l</t>
  </si>
  <si>
    <t>1000 l</t>
  </si>
  <si>
    <t>3e creation: brulemens de ventes</t>
  </si>
  <si>
    <t>2e creation: brulemens de ventes</t>
  </si>
  <si>
    <t>1e creation: brulemens de ventes</t>
  </si>
  <si>
    <t>w/o exchges</t>
  </si>
  <si>
    <t>3d cr.</t>
  </si>
  <si>
    <t>2d cr.</t>
  </si>
  <si>
    <t>1st cr.</t>
  </si>
  <si>
    <t>50 l.</t>
  </si>
  <si>
    <t>60 l.</t>
  </si>
  <si>
    <t>70 l.</t>
  </si>
  <si>
    <t>80 l.</t>
  </si>
  <si>
    <t>90 l.</t>
  </si>
  <si>
    <t>100 l.</t>
  </si>
  <si>
    <t>200 l.</t>
  </si>
  <si>
    <t>300 l.</t>
  </si>
  <si>
    <t>500 l.</t>
  </si>
  <si>
    <t>1000 l.</t>
  </si>
  <si>
    <t>2000 l.</t>
  </si>
  <si>
    <t>exchange</t>
  </si>
  <si>
    <t>emiss &amp; exch</t>
  </si>
  <si>
    <t>5 l. : exchanges</t>
  </si>
  <si>
    <t>1796:07</t>
  </si>
  <si>
    <t>1796:06</t>
  </si>
  <si>
    <t>1796:05</t>
  </si>
  <si>
    <t>1796:04</t>
  </si>
  <si>
    <t>1796:03</t>
  </si>
  <si>
    <t>1796:02</t>
  </si>
  <si>
    <t>1796:01</t>
  </si>
  <si>
    <t>1795:12</t>
  </si>
  <si>
    <t>1795:11</t>
  </si>
  <si>
    <t>1795:10</t>
  </si>
  <si>
    <t>1795:09</t>
  </si>
  <si>
    <t>1795:08</t>
  </si>
  <si>
    <t>1795:07</t>
  </si>
  <si>
    <t>1795:06</t>
  </si>
  <si>
    <t>1795:05</t>
  </si>
  <si>
    <t>1795:04</t>
  </si>
  <si>
    <t>1795:03</t>
  </si>
  <si>
    <t>1795:02</t>
  </si>
  <si>
    <t>1795:01</t>
  </si>
  <si>
    <t>1794:12</t>
  </si>
  <si>
    <t>1794:11</t>
  </si>
  <si>
    <t>1794:10</t>
  </si>
  <si>
    <t>1794:09</t>
  </si>
  <si>
    <t>1794:08</t>
  </si>
  <si>
    <t>1794:07</t>
  </si>
  <si>
    <t>1794:06</t>
  </si>
  <si>
    <t>1794:05</t>
  </si>
  <si>
    <t>1794:04</t>
  </si>
  <si>
    <t>1794:03</t>
  </si>
  <si>
    <t>1794:02</t>
  </si>
  <si>
    <t>1794:01</t>
  </si>
  <si>
    <t>1793:12</t>
  </si>
  <si>
    <t>1793:11</t>
  </si>
  <si>
    <t>1793:10</t>
  </si>
  <si>
    <t>1793:09</t>
  </si>
  <si>
    <t>1793:08</t>
  </si>
  <si>
    <t>1793:07</t>
  </si>
  <si>
    <t>1793:06</t>
  </si>
  <si>
    <t>1793:05</t>
  </si>
  <si>
    <t>1793:04</t>
  </si>
  <si>
    <t>1793:03</t>
  </si>
  <si>
    <t>1793:02</t>
  </si>
  <si>
    <t>1793:01</t>
  </si>
  <si>
    <t>1792:11</t>
  </si>
  <si>
    <t>1792:10</t>
  </si>
  <si>
    <t>1792:09</t>
  </si>
  <si>
    <t>1792:08</t>
  </si>
  <si>
    <t>1792:07</t>
  </si>
  <si>
    <t>1792:06</t>
  </si>
  <si>
    <t>1792:05</t>
  </si>
  <si>
    <t>1792:04</t>
  </si>
  <si>
    <t>1792:03</t>
  </si>
  <si>
    <t>1792:02</t>
  </si>
  <si>
    <t>1792:01</t>
  </si>
  <si>
    <t>1791:12</t>
  </si>
  <si>
    <t>1791:11</t>
  </si>
  <si>
    <t>1791:10</t>
  </si>
  <si>
    <t>1791:09</t>
  </si>
  <si>
    <t>1791:08</t>
  </si>
  <si>
    <t>1791:07</t>
  </si>
  <si>
    <t>1791:06</t>
  </si>
  <si>
    <t>1791:05</t>
  </si>
  <si>
    <t>1791:04</t>
  </si>
  <si>
    <t>1791:03</t>
  </si>
  <si>
    <t>1791:02</t>
  </si>
  <si>
    <t>1791:01</t>
  </si>
  <si>
    <t>1790:12</t>
  </si>
  <si>
    <t>1790:11</t>
  </si>
  <si>
    <t>1790:10</t>
  </si>
  <si>
    <t>1790:09</t>
  </si>
  <si>
    <t>1790:08</t>
  </si>
  <si>
    <t>1790:07</t>
  </si>
  <si>
    <t>1790:06</t>
  </si>
  <si>
    <t>1790:05</t>
  </si>
  <si>
    <t>1790:04</t>
  </si>
  <si>
    <t>1790:03</t>
  </si>
  <si>
    <t>1790:02</t>
  </si>
  <si>
    <t>1790:01</t>
  </si>
  <si>
    <t>1789:12</t>
  </si>
  <si>
    <t>1789:11</t>
  </si>
  <si>
    <t>gold_tsp</t>
  </si>
  <si>
    <t>avg83_tsp</t>
  </si>
  <si>
    <t>deficit_tsp</t>
  </si>
  <si>
    <t>versem_tsp</t>
  </si>
  <si>
    <t>circ_TSP</t>
  </si>
  <si>
    <t>circulation</t>
  </si>
  <si>
    <t>versTPmens</t>
  </si>
  <si>
    <t>versem TP</t>
  </si>
  <si>
    <t xml:space="preserve">  depense</t>
  </si>
  <si>
    <t>liquidation</t>
  </si>
  <si>
    <t>coup_rest</t>
  </si>
  <si>
    <t>coupons</t>
  </si>
  <si>
    <t>prom_rest</t>
  </si>
  <si>
    <t>promesses</t>
  </si>
  <si>
    <t>(total)</t>
  </si>
  <si>
    <t>(Jan-91 to July-92, columns A to J, from Lf.158.3)</t>
  </si>
  <si>
    <t>deficit(TSP)</t>
  </si>
  <si>
    <t>versem(TSP)</t>
  </si>
  <si>
    <t xml:space="preserve">  circ(TSP)</t>
  </si>
  <si>
    <t>id(monthly)</t>
  </si>
  <si>
    <t>ratio F/G</t>
  </si>
  <si>
    <t>(restent)</t>
  </si>
  <si>
    <t>real rev</t>
  </si>
  <si>
    <t>real spdg</t>
  </si>
  <si>
    <t>rev/spdg</t>
  </si>
  <si>
    <t>avg83</t>
  </si>
  <si>
    <t>versements</t>
  </si>
  <si>
    <t>spendg</t>
  </si>
  <si>
    <t>revenues</t>
  </si>
  <si>
    <t>defict</t>
  </si>
  <si>
    <t>This spreadsheet contains files dated 31 Aug 1993, converted from Lotus 123 format.</t>
  </si>
  <si>
    <t>They contain the data collected for the French Revolution project with Tom Sargent (see Macroeconomic Features of the French Revolution, JPE 1995).</t>
  </si>
  <si>
    <t>circ+burned</t>
  </si>
  <si>
    <t>depense</t>
  </si>
  <si>
    <t>gold price of rente</t>
  </si>
  <si>
    <t>gold value of 100 assignats/mandats</t>
  </si>
  <si>
    <t>tiers cons</t>
  </si>
  <si>
    <t>bons 2/3</t>
  </si>
  <si>
    <t>bons 1/4</t>
  </si>
  <si>
    <t>bons 3/4</t>
  </si>
  <si>
    <t>inscript</t>
  </si>
  <si>
    <t>mois ancien style=21,1,11 mois republicain</t>
  </si>
  <si>
    <t>1795-96, complementary source : Bailleul.Paris,1796</t>
  </si>
  <si>
    <t>(1797-99,same as:M. Marion  Documents relatifs... Bordeaux,1911. pp.xxxiii-xxxvi)</t>
  </si>
  <si>
    <t>Coup d'Etat et Bourse</t>
  </si>
  <si>
    <t>source:Tableau du cours des effets publics.Paris,1825. BN V 6867.</t>
  </si>
  <si>
    <t>NaN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</si>
</sst>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indexed="8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NumberFormat="1" applyFont="1" applyFill="1" applyBorder="1" applyAlignment="1" applyProtection="1"/>
    <xf numFmtId="0" fontId="1" fillId="0" borderId="0" xfId="1" quotePrefix="1" applyNumberFormat="1" applyFont="1" applyFill="1" applyBorder="1" applyAlignment="1" applyProtection="1"/>
    <xf numFmtId="10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9" fontId="1" fillId="0" borderId="0" xfId="1" applyNumberFormat="1" applyFont="1" applyFill="1" applyBorder="1" applyAlignment="1" applyProtection="1"/>
    <xf numFmtId="0" fontId="1" fillId="0" borderId="0" xfId="1" applyFill="1" applyAlignment="1"/>
    <xf numFmtId="2" fontId="1" fillId="0" borderId="0" xfId="1" applyNumberFormat="1" applyFill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318</v>
      </c>
    </row>
    <row r="2" spans="1:1">
      <c r="A2" t="s">
        <v>319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90"/>
  <sheetViews>
    <sheetView zoomScaleSheetLayoutView="1" workbookViewId="0"/>
  </sheetViews>
  <sheetFormatPr defaultRowHeight="12.75"/>
  <cols>
    <col min="1" max="3" width="9.140625" style="2"/>
    <col min="4" max="16384" width="9.140625" style="1"/>
  </cols>
  <sheetData>
    <row r="1" spans="1:3">
      <c r="A1" s="2" t="s">
        <v>45</v>
      </c>
      <c r="B1" s="2" t="s">
        <v>140</v>
      </c>
      <c r="C1" s="2" t="s">
        <v>96</v>
      </c>
    </row>
    <row r="2" spans="1:3">
      <c r="A2" s="2" t="s">
        <v>139</v>
      </c>
      <c r="B2" s="2">
        <v>1385</v>
      </c>
      <c r="C2" s="2">
        <v>172</v>
      </c>
    </row>
    <row r="3" spans="1:3">
      <c r="B3" s="2">
        <v>1380</v>
      </c>
      <c r="C3" s="2">
        <v>180</v>
      </c>
    </row>
    <row r="4" spans="1:3">
      <c r="B4" s="2">
        <v>1400</v>
      </c>
      <c r="C4" s="2">
        <v>190</v>
      </c>
    </row>
    <row r="5" spans="1:3">
      <c r="B5" s="2">
        <v>1400</v>
      </c>
      <c r="C5" s="2">
        <v>195</v>
      </c>
    </row>
    <row r="6" spans="1:3">
      <c r="A6" s="2" t="s">
        <v>117</v>
      </c>
      <c r="B6" s="2">
        <v>1420</v>
      </c>
      <c r="C6" s="2">
        <v>204</v>
      </c>
    </row>
    <row r="7" spans="1:3">
      <c r="B7" s="2">
        <v>-100</v>
      </c>
      <c r="C7" s="2">
        <v>-100</v>
      </c>
    </row>
    <row r="8" spans="1:3">
      <c r="B8" s="2">
        <v>1465</v>
      </c>
      <c r="C8" s="2">
        <v>200</v>
      </c>
    </row>
    <row r="9" spans="1:3">
      <c r="B9" s="2">
        <v>1455</v>
      </c>
      <c r="C9" s="2">
        <v>186</v>
      </c>
    </row>
    <row r="10" spans="1:3">
      <c r="B10" s="2">
        <v>-100</v>
      </c>
      <c r="C10" s="2">
        <v>200</v>
      </c>
    </row>
    <row r="11" spans="1:3">
      <c r="B11" s="2">
        <v>1485</v>
      </c>
      <c r="C11" s="2">
        <v>200</v>
      </c>
    </row>
    <row r="12" spans="1:3">
      <c r="B12" s="2">
        <v>-100</v>
      </c>
      <c r="C12" s="2">
        <v>200</v>
      </c>
    </row>
    <row r="13" spans="1:3">
      <c r="B13" s="2">
        <v>1510</v>
      </c>
      <c r="C13" s="2">
        <v>204</v>
      </c>
    </row>
    <row r="14" spans="1:3">
      <c r="B14" s="2">
        <v>1600</v>
      </c>
      <c r="C14" s="2">
        <v>224</v>
      </c>
    </row>
    <row r="15" spans="1:3">
      <c r="B15" s="2">
        <v>1675</v>
      </c>
      <c r="C15" s="2">
        <v>227</v>
      </c>
    </row>
    <row r="16" spans="1:3">
      <c r="A16" s="2" t="s">
        <v>138</v>
      </c>
      <c r="B16" s="2">
        <v>1775</v>
      </c>
      <c r="C16" s="2">
        <v>238</v>
      </c>
    </row>
    <row r="17" spans="2:3">
      <c r="B17" s="2">
        <v>-100</v>
      </c>
      <c r="C17" s="2">
        <v>-100</v>
      </c>
    </row>
    <row r="18" spans="2:3">
      <c r="B18" s="2">
        <v>1740</v>
      </c>
      <c r="C18" s="2">
        <v>220</v>
      </c>
    </row>
    <row r="19" spans="2:3">
      <c r="B19" s="2">
        <v>1625</v>
      </c>
      <c r="C19" s="2">
        <v>206</v>
      </c>
    </row>
    <row r="20" spans="2:3">
      <c r="B20" s="2">
        <v>1515</v>
      </c>
      <c r="C20" s="2">
        <v>185</v>
      </c>
    </row>
    <row r="21" spans="2:3">
      <c r="B21" s="2">
        <v>1425</v>
      </c>
      <c r="C21" s="2">
        <v>180</v>
      </c>
    </row>
    <row r="22" spans="2:3">
      <c r="B22" s="2">
        <v>1450</v>
      </c>
      <c r="C22" s="2">
        <v>185</v>
      </c>
    </row>
    <row r="23" spans="2:3">
      <c r="B23" s="2">
        <v>1625</v>
      </c>
      <c r="C23" s="2">
        <v>221</v>
      </c>
    </row>
    <row r="24" spans="2:3">
      <c r="B24" s="2">
        <v>1637</v>
      </c>
      <c r="C24" s="2">
        <v>198</v>
      </c>
    </row>
    <row r="25" spans="2:3">
      <c r="B25" s="2">
        <v>1475</v>
      </c>
      <c r="C25" s="2">
        <v>191</v>
      </c>
    </row>
    <row r="26" spans="2:3">
      <c r="B26" s="2">
        <v>1575</v>
      </c>
      <c r="C26" s="2">
        <v>205</v>
      </c>
    </row>
    <row r="27" spans="2:3">
      <c r="B27" s="2">
        <v>1612</v>
      </c>
      <c r="C27" s="2">
        <v>212</v>
      </c>
    </row>
    <row r="28" spans="2:3">
      <c r="B28" s="2">
        <v>1550</v>
      </c>
      <c r="C28" s="2">
        <v>204</v>
      </c>
    </row>
    <row r="29" spans="2:3">
      <c r="B29" s="2">
        <v>1535</v>
      </c>
      <c r="C29" s="2">
        <v>198</v>
      </c>
    </row>
    <row r="30" spans="2:3">
      <c r="B30" s="2">
        <v>1590</v>
      </c>
      <c r="C30" s="2">
        <v>217</v>
      </c>
    </row>
    <row r="31" spans="2:3">
      <c r="B31" s="2">
        <v>1600</v>
      </c>
      <c r="C31" s="2">
        <v>217</v>
      </c>
    </row>
    <row r="32" spans="2:3">
      <c r="B32" s="2">
        <v>1615</v>
      </c>
      <c r="C32" s="2">
        <v>218</v>
      </c>
    </row>
    <row r="33" spans="1:3">
      <c r="A33" s="2" t="s">
        <v>115</v>
      </c>
      <c r="B33" s="2">
        <v>1685</v>
      </c>
      <c r="C33" s="2">
        <v>229</v>
      </c>
    </row>
    <row r="34" spans="1:3">
      <c r="B34" s="2">
        <v>1730</v>
      </c>
      <c r="C34" s="2">
        <v>238</v>
      </c>
    </row>
    <row r="35" spans="1:3">
      <c r="B35" s="2">
        <v>1750</v>
      </c>
      <c r="C35" s="2">
        <v>239</v>
      </c>
    </row>
    <row r="36" spans="1:3">
      <c r="B36" s="2">
        <v>1760</v>
      </c>
      <c r="C36" s="2">
        <v>242</v>
      </c>
    </row>
    <row r="37" spans="1:3">
      <c r="B37" s="2">
        <v>1780</v>
      </c>
      <c r="C37" s="2">
        <v>238</v>
      </c>
    </row>
    <row r="38" spans="1:3">
      <c r="B38" s="2">
        <v>1800</v>
      </c>
      <c r="C38" s="2">
        <v>238</v>
      </c>
    </row>
    <row r="39" spans="1:3">
      <c r="B39" s="2">
        <v>1820</v>
      </c>
      <c r="C39" s="2">
        <v>256</v>
      </c>
    </row>
    <row r="40" spans="1:3">
      <c r="B40" s="2">
        <v>1925</v>
      </c>
      <c r="C40" s="2">
        <v>275</v>
      </c>
    </row>
    <row r="41" spans="1:3">
      <c r="B41" s="2">
        <v>1940</v>
      </c>
      <c r="C41" s="2">
        <v>275</v>
      </c>
    </row>
    <row r="42" spans="1:3">
      <c r="B42" s="2">
        <v>2030</v>
      </c>
      <c r="C42" s="2">
        <v>292</v>
      </c>
    </row>
    <row r="43" spans="1:3">
      <c r="A43" s="2" t="s">
        <v>114</v>
      </c>
      <c r="B43" s="2">
        <v>2110</v>
      </c>
      <c r="C43" s="2">
        <v>299</v>
      </c>
    </row>
    <row r="44" spans="1:3">
      <c r="B44" s="2">
        <v>2200</v>
      </c>
      <c r="C44" s="2">
        <v>328</v>
      </c>
    </row>
    <row r="45" spans="1:3">
      <c r="B45" s="2">
        <v>2400</v>
      </c>
      <c r="C45" s="2">
        <v>336</v>
      </c>
    </row>
    <row r="46" spans="1:3">
      <c r="B46" s="2">
        <v>2375</v>
      </c>
      <c r="C46" s="2">
        <v>329</v>
      </c>
    </row>
    <row r="47" spans="1:3">
      <c r="B47" s="2">
        <v>2325</v>
      </c>
      <c r="C47" s="2">
        <v>324</v>
      </c>
    </row>
    <row r="48" spans="1:3">
      <c r="B48" s="2">
        <v>2350</v>
      </c>
      <c r="C48" s="2">
        <v>335</v>
      </c>
    </row>
    <row r="49" spans="1:3">
      <c r="B49" s="2">
        <v>2400</v>
      </c>
      <c r="C49" s="2">
        <v>357</v>
      </c>
    </row>
    <row r="50" spans="1:3">
      <c r="B50" s="2">
        <v>2450</v>
      </c>
      <c r="C50" s="2">
        <v>363</v>
      </c>
    </row>
    <row r="51" spans="1:3">
      <c r="B51" s="2">
        <v>2700</v>
      </c>
      <c r="C51" s="2">
        <v>390</v>
      </c>
    </row>
    <row r="52" spans="1:3">
      <c r="B52" s="2">
        <v>2800</v>
      </c>
      <c r="C52" s="2">
        <v>393</v>
      </c>
    </row>
    <row r="53" spans="1:3">
      <c r="B53" s="2">
        <v>2850</v>
      </c>
      <c r="C53" s="2">
        <v>390</v>
      </c>
    </row>
    <row r="54" spans="1:3">
      <c r="B54" s="2">
        <v>2850</v>
      </c>
      <c r="C54" s="2">
        <v>390</v>
      </c>
    </row>
    <row r="55" spans="1:3">
      <c r="B55" s="2">
        <v>2850</v>
      </c>
      <c r="C55" s="2">
        <v>346</v>
      </c>
    </row>
    <row r="56" spans="1:3">
      <c r="B56" s="2">
        <v>2800</v>
      </c>
      <c r="C56" s="2">
        <v>360</v>
      </c>
    </row>
    <row r="57" spans="1:3">
      <c r="B57" s="2">
        <v>2800</v>
      </c>
      <c r="C57" s="2">
        <v>380</v>
      </c>
    </row>
    <row r="58" spans="1:3">
      <c r="B58" s="2">
        <v>2870</v>
      </c>
      <c r="C58" s="2">
        <v>387</v>
      </c>
    </row>
    <row r="59" spans="1:3">
      <c r="B59" s="2">
        <v>2950</v>
      </c>
      <c r="C59" s="2">
        <v>399</v>
      </c>
    </row>
    <row r="60" spans="1:3">
      <c r="A60" s="2" t="s">
        <v>113</v>
      </c>
      <c r="B60" s="2">
        <v>3200</v>
      </c>
      <c r="C60" s="2">
        <v>-100</v>
      </c>
    </row>
    <row r="61" spans="1:3">
      <c r="B61" s="2">
        <v>-100</v>
      </c>
      <c r="C61" s="2">
        <v>-100</v>
      </c>
    </row>
    <row r="62" spans="1:3">
      <c r="B62" s="2">
        <v>-100</v>
      </c>
      <c r="C62" s="2">
        <v>-100</v>
      </c>
    </row>
    <row r="63" spans="1:3">
      <c r="B63" s="2">
        <v>2800</v>
      </c>
      <c r="C63" s="2">
        <v>-100</v>
      </c>
    </row>
    <row r="64" spans="1:3">
      <c r="B64" s="2">
        <v>2750</v>
      </c>
      <c r="C64" s="2">
        <v>-100</v>
      </c>
    </row>
    <row r="65" spans="1:3">
      <c r="B65" s="2">
        <v>2900</v>
      </c>
      <c r="C65" s="2">
        <v>-100</v>
      </c>
    </row>
    <row r="66" spans="1:3">
      <c r="B66" s="2">
        <v>3150</v>
      </c>
      <c r="C66" s="2">
        <v>-100</v>
      </c>
    </row>
    <row r="67" spans="1:3">
      <c r="B67" s="2">
        <v>3225</v>
      </c>
      <c r="C67" s="2">
        <v>-100</v>
      </c>
    </row>
    <row r="68" spans="1:3">
      <c r="B68" s="2">
        <v>3150</v>
      </c>
      <c r="C68" s="2">
        <v>415</v>
      </c>
    </row>
    <row r="69" spans="1:3">
      <c r="B69" s="2">
        <v>3150</v>
      </c>
      <c r="C69" s="2">
        <v>417</v>
      </c>
    </row>
    <row r="70" spans="1:3">
      <c r="B70" s="2">
        <v>3300</v>
      </c>
      <c r="C70" s="2">
        <v>427</v>
      </c>
    </row>
    <row r="71" spans="1:3">
      <c r="A71" s="2" t="s">
        <v>137</v>
      </c>
      <c r="B71" s="2">
        <v>3400</v>
      </c>
      <c r="C71" s="2">
        <v>430</v>
      </c>
    </row>
    <row r="72" spans="1:3">
      <c r="B72" s="2">
        <v>3500</v>
      </c>
      <c r="C72" s="2">
        <v>445</v>
      </c>
    </row>
    <row r="73" spans="1:3">
      <c r="B73" s="2">
        <v>3650</v>
      </c>
      <c r="C73" s="2">
        <v>474</v>
      </c>
    </row>
    <row r="74" spans="1:3">
      <c r="B74" s="2">
        <v>4000</v>
      </c>
      <c r="C74" s="2">
        <v>496</v>
      </c>
    </row>
    <row r="75" spans="1:3">
      <c r="B75" s="2">
        <v>4450</v>
      </c>
      <c r="C75" s="2">
        <v>577</v>
      </c>
    </row>
    <row r="76" spans="1:3">
      <c r="B76" s="2">
        <v>4650</v>
      </c>
      <c r="C76" s="2">
        <v>566</v>
      </c>
    </row>
    <row r="77" spans="1:3">
      <c r="B77" s="2">
        <v>4650</v>
      </c>
      <c r="C77" s="2">
        <v>580</v>
      </c>
    </row>
    <row r="78" spans="1:3">
      <c r="B78" s="2">
        <v>5000</v>
      </c>
      <c r="C78" s="2">
        <v>637</v>
      </c>
    </row>
    <row r="79" spans="1:3">
      <c r="B79" s="2">
        <v>5450</v>
      </c>
      <c r="C79" s="2">
        <v>690</v>
      </c>
    </row>
    <row r="80" spans="1:3">
      <c r="B80" s="2">
        <v>5850</v>
      </c>
      <c r="C80" s="2">
        <v>760</v>
      </c>
    </row>
    <row r="81" spans="1:3">
      <c r="B81" s="2">
        <v>6500</v>
      </c>
      <c r="C81" s="2">
        <v>810</v>
      </c>
    </row>
    <row r="82" spans="1:3">
      <c r="B82" s="2">
        <v>8100</v>
      </c>
      <c r="C82" s="2">
        <v>876</v>
      </c>
    </row>
    <row r="83" spans="1:3">
      <c r="B83" s="2">
        <v>5800</v>
      </c>
      <c r="C83" s="2">
        <v>853</v>
      </c>
    </row>
    <row r="84" spans="1:3">
      <c r="B84" s="2">
        <v>5700</v>
      </c>
      <c r="C84" s="2">
        <v>686</v>
      </c>
    </row>
    <row r="85" spans="1:3">
      <c r="B85" s="2">
        <v>6450</v>
      </c>
      <c r="C85" s="2">
        <v>795</v>
      </c>
    </row>
    <row r="86" spans="1:3">
      <c r="B86" s="2">
        <v>6660</v>
      </c>
      <c r="C86" s="2">
        <v>811</v>
      </c>
    </row>
    <row r="87" spans="1:3">
      <c r="A87" s="2" t="s">
        <v>136</v>
      </c>
      <c r="B87" s="2">
        <v>7800</v>
      </c>
      <c r="C87" s="2">
        <v>893</v>
      </c>
    </row>
    <row r="88" spans="1:3">
      <c r="B88" s="2">
        <v>7600</v>
      </c>
      <c r="C88" s="2">
        <v>870</v>
      </c>
    </row>
    <row r="89" spans="1:3">
      <c r="B89" s="2">
        <v>7700</v>
      </c>
      <c r="C89" s="2">
        <v>837</v>
      </c>
    </row>
    <row r="90" spans="1:3">
      <c r="B90" s="2">
        <v>7300</v>
      </c>
      <c r="C90" s="2">
        <v>830</v>
      </c>
    </row>
    <row r="91" spans="1:3">
      <c r="B91" s="2">
        <v>5800</v>
      </c>
      <c r="C91" s="2">
        <v>661</v>
      </c>
    </row>
    <row r="92" spans="1:3">
      <c r="B92" s="2">
        <v>6700</v>
      </c>
      <c r="C92" s="2">
        <v>723</v>
      </c>
    </row>
    <row r="93" spans="1:3">
      <c r="B93" s="2">
        <v>7200</v>
      </c>
      <c r="C93" s="2">
        <v>829</v>
      </c>
    </row>
    <row r="94" spans="1:3">
      <c r="B94" s="2">
        <v>6500</v>
      </c>
      <c r="C94" s="2">
        <v>758</v>
      </c>
    </row>
    <row r="95" spans="1:3">
      <c r="B95" s="2">
        <v>6900</v>
      </c>
      <c r="C95" s="2">
        <v>-100</v>
      </c>
    </row>
    <row r="96" spans="1:3">
      <c r="B96" s="2">
        <v>7000</v>
      </c>
      <c r="C96" s="2">
        <v>788</v>
      </c>
    </row>
    <row r="97" spans="1:3">
      <c r="B97" s="2">
        <v>6200</v>
      </c>
      <c r="C97" s="2">
        <v>750</v>
      </c>
    </row>
    <row r="98" spans="1:3">
      <c r="A98" s="2" t="s">
        <v>135</v>
      </c>
      <c r="B98" s="2">
        <v>6150</v>
      </c>
      <c r="C98" s="2">
        <v>-100</v>
      </c>
    </row>
    <row r="99" spans="1:3">
      <c r="B99" s="2">
        <v>6250</v>
      </c>
      <c r="C99" s="2">
        <v>808</v>
      </c>
    </row>
    <row r="100" spans="1:3">
      <c r="B100" s="2">
        <v>5750</v>
      </c>
      <c r="C100" s="2">
        <v>745</v>
      </c>
    </row>
    <row r="101" spans="1:3">
      <c r="B101" s="2">
        <v>5000</v>
      </c>
      <c r="C101" s="2">
        <v>700</v>
      </c>
    </row>
    <row r="102" spans="1:3">
      <c r="B102" s="2">
        <v>5050</v>
      </c>
      <c r="C102" s="2">
        <v>690</v>
      </c>
    </row>
    <row r="103" spans="1:3">
      <c r="B103" s="2">
        <v>5300</v>
      </c>
      <c r="C103" s="2">
        <v>710</v>
      </c>
    </row>
    <row r="104" spans="1:3">
      <c r="B104" s="2">
        <v>6150</v>
      </c>
      <c r="C104" s="2">
        <v>750</v>
      </c>
    </row>
    <row r="105" spans="1:3">
      <c r="B105" s="2">
        <v>5900</v>
      </c>
      <c r="C105" s="2">
        <v>720</v>
      </c>
    </row>
    <row r="106" spans="1:3">
      <c r="B106" s="2">
        <v>5650</v>
      </c>
      <c r="C106" s="2">
        <v>735</v>
      </c>
    </row>
    <row r="107" spans="1:3">
      <c r="B107" s="2">
        <v>5800</v>
      </c>
      <c r="C107" s="2">
        <v>735</v>
      </c>
    </row>
    <row r="108" spans="1:3">
      <c r="B108" s="2">
        <v>5750</v>
      </c>
      <c r="C108" s="2">
        <v>730</v>
      </c>
    </row>
    <row r="109" spans="1:3">
      <c r="B109" s="2">
        <v>5700</v>
      </c>
      <c r="C109" s="2">
        <v>717</v>
      </c>
    </row>
    <row r="110" spans="1:3">
      <c r="B110" s="2">
        <v>5450</v>
      </c>
      <c r="C110" s="2">
        <v>685</v>
      </c>
    </row>
    <row r="111" spans="1:3">
      <c r="B111" s="2">
        <v>5550</v>
      </c>
      <c r="C111" s="2">
        <v>700</v>
      </c>
    </row>
    <row r="112" spans="1:3">
      <c r="B112" s="2">
        <v>5750</v>
      </c>
      <c r="C112" s="2">
        <v>750</v>
      </c>
    </row>
    <row r="113" spans="1:3">
      <c r="B113" s="2">
        <v>6100</v>
      </c>
      <c r="C113" s="2">
        <v>762</v>
      </c>
    </row>
    <row r="114" spans="1:3">
      <c r="A114" s="2" t="s">
        <v>134</v>
      </c>
      <c r="B114" s="2">
        <v>6100</v>
      </c>
      <c r="C114" s="2">
        <v>755</v>
      </c>
    </row>
    <row r="115" spans="1:3">
      <c r="B115" s="2">
        <v>6200</v>
      </c>
      <c r="C115" s="2">
        <v>775</v>
      </c>
    </row>
    <row r="116" spans="1:3">
      <c r="B116" s="2">
        <v>6450</v>
      </c>
      <c r="C116" s="2">
        <v>796</v>
      </c>
    </row>
    <row r="117" spans="1:3">
      <c r="B117" s="2">
        <v>6525</v>
      </c>
      <c r="C117" s="2">
        <v>775</v>
      </c>
    </row>
    <row r="118" spans="1:3">
      <c r="B118" s="2">
        <v>6375</v>
      </c>
      <c r="C118" s="2">
        <v>787</v>
      </c>
    </row>
    <row r="119" spans="1:3">
      <c r="B119" s="2">
        <v>6550</v>
      </c>
      <c r="C119" s="2">
        <v>820</v>
      </c>
    </row>
    <row r="120" spans="1:3">
      <c r="B120" s="2">
        <v>6700</v>
      </c>
      <c r="C120" s="2">
        <v>836</v>
      </c>
    </row>
    <row r="121" spans="1:3">
      <c r="B121" s="2">
        <v>6700</v>
      </c>
      <c r="C121" s="2">
        <v>827</v>
      </c>
    </row>
    <row r="122" spans="1:3">
      <c r="B122" s="2">
        <v>6500</v>
      </c>
      <c r="C122" s="2">
        <v>823</v>
      </c>
    </row>
    <row r="123" spans="1:3">
      <c r="B123" s="2">
        <v>6400</v>
      </c>
      <c r="C123" s="2">
        <v>823</v>
      </c>
    </row>
    <row r="124" spans="1:3">
      <c r="B124" s="2">
        <v>5950</v>
      </c>
      <c r="C124" s="2">
        <v>765</v>
      </c>
    </row>
    <row r="125" spans="1:3">
      <c r="B125" s="2">
        <v>6300</v>
      </c>
      <c r="C125" s="2">
        <v>805</v>
      </c>
    </row>
    <row r="126" spans="1:3">
      <c r="A126" s="2" t="s">
        <v>133</v>
      </c>
      <c r="B126" s="2">
        <v>6300</v>
      </c>
      <c r="C126" s="2">
        <v>807</v>
      </c>
    </row>
    <row r="127" spans="1:3">
      <c r="B127" s="2">
        <v>6400</v>
      </c>
      <c r="C127" s="2">
        <v>803</v>
      </c>
    </row>
    <row r="128" spans="1:3">
      <c r="B128" s="2">
        <v>6350</v>
      </c>
      <c r="C128" s="2">
        <v>804</v>
      </c>
    </row>
    <row r="129" spans="1:3">
      <c r="B129" s="2">
        <v>6250</v>
      </c>
      <c r="C129" s="2">
        <v>781</v>
      </c>
    </row>
    <row r="130" spans="1:3">
      <c r="B130" s="2">
        <v>6250</v>
      </c>
      <c r="C130" s="2">
        <v>780</v>
      </c>
    </row>
    <row r="131" spans="1:3">
      <c r="B131" s="2">
        <v>6250</v>
      </c>
      <c r="C131" s="2">
        <v>790</v>
      </c>
    </row>
    <row r="132" spans="1:3">
      <c r="B132" s="2">
        <v>6250</v>
      </c>
      <c r="C132" s="2">
        <v>802</v>
      </c>
    </row>
    <row r="133" spans="1:3">
      <c r="B133" s="2">
        <v>6250</v>
      </c>
      <c r="C133" s="2">
        <v>798</v>
      </c>
    </row>
    <row r="134" spans="1:3">
      <c r="B134" s="2">
        <v>6225</v>
      </c>
      <c r="C134" s="2">
        <v>795</v>
      </c>
    </row>
    <row r="135" spans="1:3">
      <c r="B135" s="2">
        <v>6300</v>
      </c>
      <c r="C135" s="2">
        <v>815</v>
      </c>
    </row>
    <row r="136" spans="1:3">
      <c r="B136" s="2">
        <v>6450</v>
      </c>
      <c r="C136" s="2">
        <v>830</v>
      </c>
    </row>
    <row r="137" spans="1:3">
      <c r="B137" s="2">
        <v>6400</v>
      </c>
      <c r="C137" s="2">
        <v>832</v>
      </c>
    </row>
    <row r="138" spans="1:3">
      <c r="B138" s="2">
        <v>6350</v>
      </c>
      <c r="C138" s="2">
        <v>857</v>
      </c>
    </row>
    <row r="139" spans="1:3">
      <c r="B139" s="2">
        <v>6375</v>
      </c>
      <c r="C139" s="2">
        <v>868</v>
      </c>
    </row>
    <row r="140" spans="1:3">
      <c r="B140" s="2">
        <v>6425</v>
      </c>
      <c r="C140" s="2">
        <v>850</v>
      </c>
    </row>
    <row r="141" spans="1:3">
      <c r="A141" s="2" t="s">
        <v>132</v>
      </c>
      <c r="B141" s="2">
        <v>6750</v>
      </c>
      <c r="C141" s="2">
        <v>883</v>
      </c>
    </row>
    <row r="142" spans="1:3">
      <c r="B142" s="2">
        <v>6800</v>
      </c>
      <c r="C142" s="2">
        <v>905</v>
      </c>
    </row>
    <row r="143" spans="1:3">
      <c r="B143" s="2">
        <v>7000</v>
      </c>
      <c r="C143" s="2">
        <v>940</v>
      </c>
    </row>
    <row r="144" spans="1:3">
      <c r="B144" s="2">
        <v>7300</v>
      </c>
      <c r="C144" s="2">
        <v>962</v>
      </c>
    </row>
    <row r="145" spans="1:3">
      <c r="B145" s="2">
        <v>7100</v>
      </c>
      <c r="C145" s="2">
        <v>930</v>
      </c>
    </row>
    <row r="146" spans="1:3">
      <c r="B146" s="2">
        <v>6950</v>
      </c>
      <c r="C146" s="2">
        <v>915</v>
      </c>
    </row>
    <row r="147" spans="1:3">
      <c r="B147" s="2">
        <v>7000</v>
      </c>
      <c r="C147" s="2">
        <v>945</v>
      </c>
    </row>
    <row r="148" spans="1:3">
      <c r="B148" s="2">
        <v>7150</v>
      </c>
      <c r="C148" s="2">
        <v>970</v>
      </c>
    </row>
    <row r="149" spans="1:3">
      <c r="B149" s="2">
        <v>7150</v>
      </c>
      <c r="C149" s="2">
        <v>975</v>
      </c>
    </row>
    <row r="150" spans="1:3">
      <c r="B150" s="2">
        <v>7400</v>
      </c>
      <c r="C150" s="2">
        <v>1050</v>
      </c>
    </row>
    <row r="151" spans="1:3">
      <c r="B151" s="2">
        <v>7900</v>
      </c>
      <c r="C151" s="2">
        <v>1062</v>
      </c>
    </row>
    <row r="152" spans="1:3">
      <c r="B152" s="2">
        <v>8150</v>
      </c>
      <c r="C152" s="2">
        <v>1065</v>
      </c>
    </row>
    <row r="153" spans="1:3">
      <c r="B153" s="2">
        <v>7500</v>
      </c>
      <c r="C153" s="2">
        <v>1121</v>
      </c>
    </row>
    <row r="154" spans="1:3">
      <c r="A154" s="2" t="s">
        <v>131</v>
      </c>
      <c r="B154" s="2">
        <v>7800</v>
      </c>
      <c r="C154" s="2">
        <v>1105</v>
      </c>
    </row>
    <row r="155" spans="1:3">
      <c r="B155" s="2">
        <v>7800</v>
      </c>
      <c r="C155" s="2">
        <v>1090</v>
      </c>
    </row>
    <row r="156" spans="1:3">
      <c r="B156" s="2">
        <v>7900</v>
      </c>
      <c r="C156" s="2">
        <v>1123</v>
      </c>
    </row>
    <row r="157" spans="1:3">
      <c r="B157" s="2">
        <v>7950</v>
      </c>
      <c r="C157" s="2">
        <v>1110</v>
      </c>
    </row>
    <row r="158" spans="1:3">
      <c r="B158" s="2">
        <v>7950</v>
      </c>
      <c r="C158" s="2">
        <v>1112</v>
      </c>
    </row>
    <row r="159" spans="1:3">
      <c r="B159" s="2">
        <v>8050</v>
      </c>
      <c r="C159" s="2">
        <v>1154</v>
      </c>
    </row>
    <row r="160" spans="1:3">
      <c r="B160" s="2">
        <v>8100</v>
      </c>
      <c r="C160" s="2">
        <v>1153</v>
      </c>
    </row>
    <row r="161" spans="1:3">
      <c r="B161" s="2">
        <v>8475</v>
      </c>
      <c r="C161" s="2">
        <v>1228</v>
      </c>
    </row>
    <row r="162" spans="1:3">
      <c r="B162" s="2">
        <v>7900</v>
      </c>
      <c r="C162" s="2">
        <v>1193</v>
      </c>
    </row>
    <row r="163" spans="1:3">
      <c r="B163" s="2">
        <v>7725</v>
      </c>
      <c r="C163" s="2">
        <v>1163</v>
      </c>
    </row>
    <row r="164" spans="1:3">
      <c r="B164" s="2">
        <v>7050</v>
      </c>
      <c r="C164" s="2">
        <v>1106</v>
      </c>
    </row>
    <row r="165" spans="1:3">
      <c r="B165" s="2">
        <v>7000</v>
      </c>
      <c r="C165" s="2">
        <v>1120</v>
      </c>
    </row>
    <row r="166" spans="1:3">
      <c r="B166" s="2">
        <v>7100</v>
      </c>
      <c r="C166" s="2">
        <v>1155</v>
      </c>
    </row>
    <row r="167" spans="1:3">
      <c r="B167" s="2">
        <v>7150</v>
      </c>
      <c r="C167" s="2">
        <v>1145</v>
      </c>
    </row>
    <row r="168" spans="1:3">
      <c r="A168" s="2" t="s">
        <v>130</v>
      </c>
      <c r="B168" s="2">
        <v>7200</v>
      </c>
      <c r="C168" s="2">
        <v>1165</v>
      </c>
    </row>
    <row r="169" spans="1:3">
      <c r="B169" s="2">
        <v>7100</v>
      </c>
      <c r="C169" s="2">
        <v>1145</v>
      </c>
    </row>
    <row r="170" spans="1:3">
      <c r="B170" s="2">
        <v>7150</v>
      </c>
      <c r="C170" s="2">
        <v>1140</v>
      </c>
    </row>
    <row r="171" spans="1:3">
      <c r="B171" s="2">
        <v>7200</v>
      </c>
      <c r="C171" s="2">
        <v>1156</v>
      </c>
    </row>
    <row r="172" spans="1:3">
      <c r="B172" s="2">
        <v>7350</v>
      </c>
      <c r="C172" s="2">
        <v>1175</v>
      </c>
    </row>
    <row r="173" spans="1:3">
      <c r="B173" s="2">
        <v>7425</v>
      </c>
      <c r="C173" s="2">
        <v>1193</v>
      </c>
    </row>
    <row r="174" spans="1:3">
      <c r="A174" s="2" t="s">
        <v>129</v>
      </c>
      <c r="B174" s="2">
        <v>7425</v>
      </c>
      <c r="C174" s="2">
        <v>1200</v>
      </c>
    </row>
    <row r="175" spans="1:3">
      <c r="B175" s="2">
        <v>7275</v>
      </c>
      <c r="C175" s="2">
        <v>1165</v>
      </c>
    </row>
    <row r="176" spans="1:3">
      <c r="B176" s="2">
        <v>7000</v>
      </c>
      <c r="C176" s="2">
        <v>1135</v>
      </c>
    </row>
    <row r="177" spans="1:3">
      <c r="B177" s="2">
        <v>6675</v>
      </c>
      <c r="C177" s="2">
        <v>1140</v>
      </c>
    </row>
    <row r="178" spans="1:3">
      <c r="B178" s="2">
        <v>6750</v>
      </c>
      <c r="C178" s="2">
        <v>1145</v>
      </c>
    </row>
    <row r="179" spans="1:3">
      <c r="B179" s="2">
        <v>6850</v>
      </c>
      <c r="C179" s="2">
        <v>1180</v>
      </c>
    </row>
    <row r="180" spans="1:3">
      <c r="B180" s="2">
        <v>6800</v>
      </c>
      <c r="C180" s="2">
        <v>1200</v>
      </c>
    </row>
    <row r="181" spans="1:3">
      <c r="B181" s="2">
        <v>7300</v>
      </c>
      <c r="C181" s="2">
        <v>1200</v>
      </c>
    </row>
    <row r="182" spans="1:3">
      <c r="A182" s="2" t="s">
        <v>128</v>
      </c>
      <c r="B182" s="2">
        <v>7300</v>
      </c>
      <c r="C182" s="2">
        <v>1205</v>
      </c>
    </row>
    <row r="183" spans="1:3">
      <c r="B183" s="2">
        <v>7750</v>
      </c>
      <c r="C183" s="2">
        <v>1240</v>
      </c>
    </row>
    <row r="184" spans="1:3">
      <c r="B184" s="2">
        <v>7600</v>
      </c>
      <c r="C184" s="2">
        <v>1240</v>
      </c>
    </row>
    <row r="185" spans="1:3">
      <c r="B185" s="2">
        <v>-100</v>
      </c>
      <c r="C185" s="2">
        <v>-100</v>
      </c>
    </row>
    <row r="186" spans="1:3">
      <c r="B186" s="2">
        <v>-100</v>
      </c>
      <c r="C186" s="2">
        <v>-100</v>
      </c>
    </row>
    <row r="187" spans="1:3">
      <c r="B187" s="2">
        <v>7600</v>
      </c>
      <c r="C187" s="2">
        <v>1198</v>
      </c>
    </row>
    <row r="188" spans="1:3">
      <c r="B188" s="2">
        <v>7500</v>
      </c>
      <c r="C188" s="2">
        <v>1190</v>
      </c>
    </row>
    <row r="189" spans="1:3">
      <c r="B189" s="2">
        <v>7425</v>
      </c>
      <c r="C189" s="2">
        <v>1180</v>
      </c>
    </row>
    <row r="190" spans="1:3">
      <c r="B190" s="2">
        <v>7700</v>
      </c>
      <c r="C190" s="2">
        <v>1235</v>
      </c>
    </row>
    <row r="191" spans="1:3">
      <c r="B191" s="2">
        <v>7850</v>
      </c>
      <c r="C191" s="2">
        <v>1300</v>
      </c>
    </row>
    <row r="192" spans="1:3">
      <c r="B192" s="2">
        <v>8800</v>
      </c>
      <c r="C192" s="2">
        <v>1380</v>
      </c>
    </row>
    <row r="193" spans="1:3">
      <c r="B193" s="2">
        <v>8200</v>
      </c>
      <c r="C193" s="2">
        <v>1420</v>
      </c>
    </row>
    <row r="194" spans="1:3">
      <c r="B194" s="2">
        <v>9300</v>
      </c>
      <c r="C194" s="2">
        <v>1560</v>
      </c>
    </row>
    <row r="195" spans="1:3">
      <c r="B195" s="2">
        <v>-100</v>
      </c>
      <c r="C195" s="2">
        <v>1726</v>
      </c>
    </row>
    <row r="196" spans="1:3">
      <c r="B196" s="2">
        <v>9900</v>
      </c>
      <c r="C196" s="2">
        <v>1705</v>
      </c>
    </row>
    <row r="197" spans="1:3">
      <c r="B197" s="2">
        <v>9700</v>
      </c>
      <c r="C197" s="2">
        <v>1620</v>
      </c>
    </row>
    <row r="198" spans="1:3">
      <c r="B198" s="2">
        <v>9600</v>
      </c>
      <c r="C198" s="2">
        <v>1690</v>
      </c>
    </row>
    <row r="199" spans="1:3">
      <c r="B199" s="2">
        <v>10033</v>
      </c>
      <c r="C199" s="2">
        <v>1700</v>
      </c>
    </row>
    <row r="200" spans="1:3">
      <c r="B200" s="2">
        <v>10316</v>
      </c>
      <c r="C200" s="2">
        <v>1670</v>
      </c>
    </row>
    <row r="201" spans="1:3">
      <c r="A201" s="2" t="s">
        <v>127</v>
      </c>
      <c r="B201" s="2">
        <v>10900</v>
      </c>
      <c r="C201" s="2">
        <v>1685</v>
      </c>
    </row>
    <row r="202" spans="1:3">
      <c r="B202" s="2">
        <v>11500</v>
      </c>
      <c r="C202" s="2">
        <v>1817</v>
      </c>
    </row>
    <row r="203" spans="1:3">
      <c r="B203" s="2">
        <v>12750</v>
      </c>
      <c r="C203" s="2">
        <v>1832</v>
      </c>
    </row>
    <row r="204" spans="1:3">
      <c r="B204" s="2">
        <v>14950</v>
      </c>
      <c r="C204" s="2">
        <v>1973</v>
      </c>
    </row>
    <row r="205" spans="1:3">
      <c r="B205" s="2">
        <v>16766</v>
      </c>
      <c r="C205" s="2">
        <v>2376</v>
      </c>
    </row>
    <row r="206" spans="1:3">
      <c r="B206" s="2">
        <v>19500</v>
      </c>
      <c r="C206" s="2">
        <v>2666</v>
      </c>
    </row>
    <row r="207" spans="1:3">
      <c r="B207" s="2">
        <v>23750</v>
      </c>
      <c r="C207" s="2">
        <v>3262</v>
      </c>
    </row>
    <row r="208" spans="1:3">
      <c r="B208" s="2">
        <v>24500</v>
      </c>
      <c r="C208" s="2">
        <v>3362</v>
      </c>
    </row>
    <row r="209" spans="1:3">
      <c r="B209" s="2">
        <v>16740</v>
      </c>
      <c r="C209" s="2">
        <v>2580</v>
      </c>
    </row>
    <row r="210" spans="1:3">
      <c r="A210" s="2" t="s">
        <v>126</v>
      </c>
      <c r="B210" s="2">
        <v>18000</v>
      </c>
      <c r="C210" s="2">
        <v>2588</v>
      </c>
    </row>
    <row r="211" spans="1:3">
      <c r="B211" s="2">
        <v>19560</v>
      </c>
      <c r="C211" s="2">
        <v>2720</v>
      </c>
    </row>
    <row r="212" spans="1:3">
      <c r="B212" s="2">
        <v>21333</v>
      </c>
      <c r="C212" s="2">
        <v>3125</v>
      </c>
    </row>
    <row r="213" spans="1:3">
      <c r="B213" s="2">
        <v>21750</v>
      </c>
      <c r="C213" s="2">
        <v>3083</v>
      </c>
    </row>
    <row r="214" spans="1:3">
      <c r="B214" s="2">
        <v>21583</v>
      </c>
      <c r="C214" s="2">
        <v>3045</v>
      </c>
    </row>
    <row r="215" spans="1:3">
      <c r="B215" s="2">
        <v>22190</v>
      </c>
      <c r="C215" s="2">
        <v>3080</v>
      </c>
    </row>
    <row r="216" spans="1:3">
      <c r="B216" s="2">
        <v>-100</v>
      </c>
      <c r="C216" s="2">
        <v>3067</v>
      </c>
    </row>
    <row r="217" spans="1:3">
      <c r="B217" s="2">
        <v>22700</v>
      </c>
      <c r="C217" s="2">
        <v>3200</v>
      </c>
    </row>
    <row r="218" spans="1:3">
      <c r="B218" s="2">
        <v>23000</v>
      </c>
      <c r="C218" s="2">
        <v>3285</v>
      </c>
    </row>
    <row r="219" spans="1:3">
      <c r="B219" s="2">
        <v>22250</v>
      </c>
      <c r="C219" s="2">
        <v>3212</v>
      </c>
    </row>
    <row r="220" spans="1:3">
      <c r="B220" s="2">
        <v>21000</v>
      </c>
      <c r="C220" s="2">
        <v>3020</v>
      </c>
    </row>
    <row r="221" spans="1:3">
      <c r="B221" s="2">
        <v>20250</v>
      </c>
      <c r="C221" s="2">
        <v>2816</v>
      </c>
    </row>
    <row r="222" spans="1:3">
      <c r="B222" s="2">
        <v>22000</v>
      </c>
      <c r="C222" s="2">
        <v>3096</v>
      </c>
    </row>
    <row r="223" spans="1:3">
      <c r="B223" s="2">
        <v>22125</v>
      </c>
      <c r="C223" s="2">
        <v>3109</v>
      </c>
    </row>
    <row r="224" spans="1:3">
      <c r="B224" s="2">
        <v>21500</v>
      </c>
      <c r="C224" s="2">
        <v>3018</v>
      </c>
    </row>
    <row r="225" spans="1:3">
      <c r="B225" s="2">
        <v>21750</v>
      </c>
      <c r="C225" s="2">
        <v>3050</v>
      </c>
    </row>
    <row r="226" spans="1:3">
      <c r="B226" s="2">
        <v>22500</v>
      </c>
      <c r="C226" s="2">
        <v>3176</v>
      </c>
    </row>
    <row r="227" spans="1:3">
      <c r="B227" s="2">
        <v>23250</v>
      </c>
      <c r="C227" s="2">
        <v>3320</v>
      </c>
    </row>
    <row r="228" spans="1:3">
      <c r="A228" s="2" t="s">
        <v>125</v>
      </c>
      <c r="B228" s="2">
        <v>23750</v>
      </c>
      <c r="C228" s="2">
        <v>3401</v>
      </c>
    </row>
    <row r="229" spans="1:3">
      <c r="B229" s="2">
        <v>23500</v>
      </c>
      <c r="C229" s="2">
        <v>3280</v>
      </c>
    </row>
    <row r="230" spans="1:3">
      <c r="B230" s="2">
        <v>22750</v>
      </c>
      <c r="C230" s="2">
        <v>3240</v>
      </c>
    </row>
    <row r="231" spans="1:3">
      <c r="B231" s="2">
        <v>21750</v>
      </c>
      <c r="C231" s="2">
        <v>3046</v>
      </c>
    </row>
    <row r="232" spans="1:3">
      <c r="B232" s="2">
        <v>21750</v>
      </c>
      <c r="C232" s="2">
        <v>3035</v>
      </c>
    </row>
    <row r="233" spans="1:3">
      <c r="B233" s="2">
        <v>22750</v>
      </c>
      <c r="C233" s="2">
        <v>3202</v>
      </c>
    </row>
    <row r="234" spans="1:3">
      <c r="B234" s="2">
        <v>24080</v>
      </c>
      <c r="C234" s="2">
        <v>3202</v>
      </c>
    </row>
    <row r="235" spans="1:3">
      <c r="B235" s="2">
        <v>25166</v>
      </c>
      <c r="C235" s="2">
        <v>3360</v>
      </c>
    </row>
    <row r="236" spans="1:3">
      <c r="B236" s="2">
        <v>24000</v>
      </c>
      <c r="C236" s="2">
        <v>3520</v>
      </c>
    </row>
    <row r="237" spans="1:3">
      <c r="A237" s="2" t="s">
        <v>124</v>
      </c>
      <c r="B237" s="2">
        <v>26000</v>
      </c>
      <c r="C237" s="2">
        <v>3575</v>
      </c>
    </row>
    <row r="238" spans="1:3">
      <c r="B238" s="2">
        <v>26750</v>
      </c>
      <c r="C238" s="2">
        <v>3765</v>
      </c>
    </row>
    <row r="239" spans="1:3">
      <c r="B239" s="2">
        <v>28250</v>
      </c>
      <c r="C239" s="2">
        <v>4015</v>
      </c>
    </row>
    <row r="240" spans="1:3">
      <c r="B240" s="2">
        <v>28562</v>
      </c>
      <c r="C240" s="2">
        <v>4070</v>
      </c>
    </row>
    <row r="241" spans="1:3">
      <c r="B241" s="2">
        <v>31500</v>
      </c>
      <c r="C241" s="2">
        <v>4355</v>
      </c>
    </row>
    <row r="242" spans="1:3">
      <c r="B242" s="2">
        <v>34916</v>
      </c>
      <c r="C242" s="2">
        <v>4865</v>
      </c>
    </row>
    <row r="243" spans="1:3">
      <c r="B243" s="2">
        <v>38083</v>
      </c>
      <c r="C243" s="2">
        <v>5055</v>
      </c>
    </row>
    <row r="244" spans="1:3">
      <c r="B244" s="2">
        <v>35750</v>
      </c>
      <c r="C244" s="2">
        <v>4965</v>
      </c>
    </row>
    <row r="245" spans="1:3">
      <c r="B245" s="2">
        <v>29875</v>
      </c>
      <c r="C245" s="2">
        <v>4000</v>
      </c>
    </row>
    <row r="246" spans="1:3">
      <c r="B246" s="2">
        <v>23166</v>
      </c>
      <c r="C246" s="2">
        <v>3290</v>
      </c>
    </row>
    <row r="247" spans="1:3">
      <c r="B247" s="2">
        <v>26250</v>
      </c>
      <c r="C247" s="2">
        <v>3840</v>
      </c>
    </row>
    <row r="248" spans="1:3">
      <c r="B248" s="2">
        <v>-100</v>
      </c>
      <c r="C248" s="2">
        <v>4225</v>
      </c>
    </row>
    <row r="249" spans="1:3">
      <c r="B249" s="2">
        <v>-100</v>
      </c>
      <c r="C249" s="2">
        <v>4100</v>
      </c>
    </row>
    <row r="250" spans="1:3">
      <c r="B250" s="2">
        <v>29750</v>
      </c>
      <c r="C250" s="2">
        <v>4216</v>
      </c>
    </row>
    <row r="251" spans="1:3">
      <c r="B251" s="2">
        <v>30000</v>
      </c>
      <c r="C251" s="2">
        <v>4300</v>
      </c>
    </row>
    <row r="252" spans="1:3">
      <c r="B252" s="2">
        <v>31750</v>
      </c>
      <c r="C252" s="2">
        <v>4900</v>
      </c>
    </row>
    <row r="253" spans="1:3">
      <c r="B253" s="2">
        <v>36250</v>
      </c>
      <c r="C253" s="2">
        <v>4995</v>
      </c>
    </row>
    <row r="254" spans="1:3">
      <c r="B254" s="2">
        <v>33750</v>
      </c>
      <c r="C254" s="2">
        <v>4975</v>
      </c>
    </row>
    <row r="255" spans="1:3">
      <c r="A255" s="2" t="s">
        <v>123</v>
      </c>
      <c r="B255" s="2">
        <v>39666</v>
      </c>
      <c r="C255" s="2">
        <v>5485</v>
      </c>
    </row>
    <row r="256" spans="1:3">
      <c r="B256" s="2">
        <v>-100</v>
      </c>
      <c r="C256" s="2">
        <v>5800</v>
      </c>
    </row>
    <row r="257" spans="1:3">
      <c r="B257" s="2">
        <v>38000</v>
      </c>
      <c r="C257" s="2">
        <v>5462</v>
      </c>
    </row>
    <row r="258" spans="1:3">
      <c r="B258" s="2">
        <v>35500</v>
      </c>
      <c r="C258" s="2">
        <v>4680</v>
      </c>
    </row>
    <row r="259" spans="1:3">
      <c r="B259" s="2">
        <v>36625</v>
      </c>
      <c r="C259" s="2">
        <v>5538</v>
      </c>
    </row>
    <row r="260" spans="1:3">
      <c r="B260" s="2">
        <v>39500</v>
      </c>
      <c r="C260" s="2">
        <v>5850</v>
      </c>
    </row>
    <row r="261" spans="1:3">
      <c r="B261" s="2">
        <v>38333</v>
      </c>
      <c r="C261" s="2">
        <v>5262</v>
      </c>
    </row>
    <row r="262" spans="1:3">
      <c r="B262" s="2">
        <v>37000</v>
      </c>
      <c r="C262" s="2">
        <v>5210</v>
      </c>
    </row>
    <row r="263" spans="1:3">
      <c r="B263" s="2">
        <v>35500</v>
      </c>
      <c r="C263" s="2">
        <v>4875</v>
      </c>
    </row>
    <row r="264" spans="1:3">
      <c r="A264" s="2" t="s">
        <v>122</v>
      </c>
      <c r="B264" s="2">
        <v>31500</v>
      </c>
      <c r="C264" s="2">
        <v>4658</v>
      </c>
    </row>
    <row r="265" spans="1:3">
      <c r="B265" s="2">
        <v>32500</v>
      </c>
      <c r="C265" s="2">
        <v>4610</v>
      </c>
    </row>
    <row r="266" spans="1:3">
      <c r="B266" s="2">
        <v>32500</v>
      </c>
      <c r="C266" s="2">
        <v>4375</v>
      </c>
    </row>
    <row r="267" spans="1:3">
      <c r="B267" s="2">
        <v>35250</v>
      </c>
      <c r="C267" s="2">
        <v>4908</v>
      </c>
    </row>
    <row r="268" spans="1:3">
      <c r="B268" s="2">
        <v>39500</v>
      </c>
      <c r="C268" s="2">
        <v>5745</v>
      </c>
    </row>
    <row r="269" spans="1:3">
      <c r="B269" s="2">
        <v>37250</v>
      </c>
      <c r="C269" s="2">
        <v>5363</v>
      </c>
    </row>
    <row r="270" spans="1:3">
      <c r="B270" s="2">
        <v>39500</v>
      </c>
      <c r="C270" s="2">
        <v>5491</v>
      </c>
    </row>
    <row r="271" spans="1:3">
      <c r="B271" s="2">
        <v>39500</v>
      </c>
      <c r="C271" s="2">
        <v>5639</v>
      </c>
    </row>
    <row r="272" spans="1:3">
      <c r="B272" s="2">
        <v>39500</v>
      </c>
      <c r="C272" s="2">
        <v>5551</v>
      </c>
    </row>
    <row r="273" spans="1:3">
      <c r="B273" s="2">
        <v>39833</v>
      </c>
      <c r="C273" s="2">
        <v>5559</v>
      </c>
    </row>
    <row r="274" spans="1:3">
      <c r="B274" s="2">
        <v>38500</v>
      </c>
      <c r="C274" s="2">
        <v>5269</v>
      </c>
    </row>
    <row r="275" spans="1:3">
      <c r="B275" s="2">
        <v>38125</v>
      </c>
      <c r="C275" s="2">
        <v>4950</v>
      </c>
    </row>
    <row r="276" spans="1:3">
      <c r="B276" s="2">
        <v>37875</v>
      </c>
      <c r="C276" s="2">
        <v>5110</v>
      </c>
    </row>
    <row r="277" spans="1:3">
      <c r="B277" s="2">
        <v>37000</v>
      </c>
      <c r="C277" s="2">
        <v>5068</v>
      </c>
    </row>
    <row r="278" spans="1:3">
      <c r="B278" s="2">
        <v>37166</v>
      </c>
      <c r="C278" s="2">
        <v>5217</v>
      </c>
    </row>
    <row r="279" spans="1:3">
      <c r="B279" s="2">
        <v>37000</v>
      </c>
      <c r="C279" s="2">
        <v>5290</v>
      </c>
    </row>
    <row r="280" spans="1:3">
      <c r="B280" s="2">
        <v>37250</v>
      </c>
      <c r="C280" s="2">
        <v>5388</v>
      </c>
    </row>
    <row r="281" spans="1:3">
      <c r="B281" s="2">
        <v>37500</v>
      </c>
      <c r="C281" s="2">
        <v>5320</v>
      </c>
    </row>
    <row r="282" spans="1:3">
      <c r="A282" s="2" t="s">
        <v>121</v>
      </c>
      <c r="B282" s="2">
        <v>-100</v>
      </c>
      <c r="C282" s="2">
        <v>5525</v>
      </c>
    </row>
    <row r="283" spans="1:3">
      <c r="B283" s="2">
        <v>38250</v>
      </c>
      <c r="C283" s="2">
        <v>5472</v>
      </c>
    </row>
    <row r="284" spans="1:3">
      <c r="B284" s="2">
        <v>37000</v>
      </c>
      <c r="C284" s="2">
        <v>5204</v>
      </c>
    </row>
    <row r="285" spans="1:3">
      <c r="B285" s="2">
        <v>36750</v>
      </c>
      <c r="C285" s="2">
        <v>5198</v>
      </c>
    </row>
    <row r="286" spans="1:3">
      <c r="B286" s="2">
        <v>36750</v>
      </c>
      <c r="C286" s="2">
        <v>5337</v>
      </c>
    </row>
    <row r="287" spans="1:3">
      <c r="B287" s="2">
        <v>36000</v>
      </c>
      <c r="C287" s="2">
        <v>5292</v>
      </c>
    </row>
    <row r="288" spans="1:3">
      <c r="B288" s="2">
        <v>36750</v>
      </c>
      <c r="C288" s="2">
        <v>5233</v>
      </c>
    </row>
    <row r="289" spans="1:3">
      <c r="B289" s="2">
        <v>36500</v>
      </c>
      <c r="C289" s="2">
        <v>5200</v>
      </c>
    </row>
    <row r="290" spans="1:3">
      <c r="B290" s="2">
        <v>37000</v>
      </c>
      <c r="C290" s="2">
        <v>5291</v>
      </c>
    </row>
    <row r="291" spans="1:3">
      <c r="B291" s="2">
        <v>36750</v>
      </c>
      <c r="C291" s="2">
        <v>5243</v>
      </c>
    </row>
    <row r="292" spans="1:3">
      <c r="A292" s="2" t="s">
        <v>120</v>
      </c>
      <c r="B292" s="2">
        <v>37750</v>
      </c>
      <c r="C292" s="2">
        <v>5336</v>
      </c>
    </row>
    <row r="293" spans="1:3">
      <c r="B293" s="2">
        <v>39500</v>
      </c>
      <c r="C293" s="2">
        <v>5763</v>
      </c>
    </row>
    <row r="294" spans="1:3">
      <c r="B294" s="2">
        <v>39250</v>
      </c>
      <c r="C294" s="2">
        <v>5500</v>
      </c>
    </row>
    <row r="295" spans="1:3">
      <c r="B295" s="2">
        <v>38500</v>
      </c>
      <c r="C295" s="2">
        <v>5445</v>
      </c>
    </row>
    <row r="296" spans="1:3">
      <c r="B296" s="2">
        <v>38750</v>
      </c>
      <c r="C296" s="2">
        <v>5495</v>
      </c>
    </row>
    <row r="297" spans="1:3">
      <c r="B297" s="2">
        <v>39500</v>
      </c>
      <c r="C297" s="2">
        <v>5600</v>
      </c>
    </row>
    <row r="298" spans="1:3">
      <c r="B298" s="2">
        <v>40250</v>
      </c>
      <c r="C298" s="2">
        <v>5602</v>
      </c>
    </row>
    <row r="299" spans="1:3">
      <c r="B299" s="2">
        <v>44250</v>
      </c>
      <c r="C299" s="2">
        <v>5852</v>
      </c>
    </row>
    <row r="300" spans="1:3">
      <c r="B300" s="2">
        <v>44000</v>
      </c>
      <c r="C300" s="2">
        <v>6119</v>
      </c>
    </row>
    <row r="301" spans="1:3">
      <c r="B301" s="2">
        <v>46500</v>
      </c>
      <c r="C301" s="2">
        <v>6425</v>
      </c>
    </row>
    <row r="302" spans="1:3">
      <c r="B302" s="2">
        <v>45500</v>
      </c>
      <c r="C302" s="2">
        <v>6145</v>
      </c>
    </row>
    <row r="303" spans="1:3">
      <c r="B303" s="2">
        <v>46500</v>
      </c>
      <c r="C303" s="2">
        <v>6220</v>
      </c>
    </row>
    <row r="304" spans="1:3">
      <c r="B304" s="2">
        <v>47750</v>
      </c>
      <c r="C304" s="2">
        <v>6485</v>
      </c>
    </row>
    <row r="305" spans="1:3">
      <c r="B305" s="2">
        <v>50000</v>
      </c>
      <c r="C305" s="2">
        <v>6610</v>
      </c>
    </row>
    <row r="306" spans="1:3">
      <c r="B306" s="2">
        <v>53000</v>
      </c>
      <c r="C306" s="2">
        <v>6865</v>
      </c>
    </row>
    <row r="307" spans="1:3">
      <c r="B307" s="2">
        <v>53000</v>
      </c>
      <c r="C307" s="2">
        <v>6727</v>
      </c>
    </row>
    <row r="308" spans="1:3">
      <c r="B308" s="2">
        <v>-100</v>
      </c>
      <c r="C308" s="2">
        <v>6450</v>
      </c>
    </row>
    <row r="309" spans="1:3">
      <c r="A309" s="2" t="s">
        <v>119</v>
      </c>
      <c r="B309" s="2">
        <v>53000</v>
      </c>
      <c r="C309" s="2">
        <v>7011</v>
      </c>
    </row>
    <row r="310" spans="1:3">
      <c r="B310" s="2">
        <v>63000</v>
      </c>
      <c r="C310" s="2">
        <v>7843</v>
      </c>
    </row>
    <row r="311" spans="1:3">
      <c r="B311" s="2">
        <v>61000</v>
      </c>
      <c r="C311" s="2">
        <v>8137</v>
      </c>
    </row>
    <row r="312" spans="1:3">
      <c r="B312" s="2">
        <v>58500</v>
      </c>
      <c r="C312" s="2">
        <v>7350</v>
      </c>
    </row>
    <row r="313" spans="1:3">
      <c r="B313" s="2">
        <v>59500</v>
      </c>
      <c r="C313" s="2">
        <v>7550</v>
      </c>
    </row>
    <row r="314" spans="1:3">
      <c r="B314" s="2">
        <v>59000</v>
      </c>
      <c r="C314" s="2">
        <v>7650</v>
      </c>
    </row>
    <row r="315" spans="1:3">
      <c r="B315" s="2">
        <v>57000</v>
      </c>
      <c r="C315" s="2">
        <v>7500</v>
      </c>
    </row>
    <row r="316" spans="1:3">
      <c r="B316" s="2">
        <v>55000</v>
      </c>
      <c r="C316" s="2">
        <v>7100</v>
      </c>
    </row>
    <row r="317" spans="1:3">
      <c r="B317" s="2">
        <v>53000</v>
      </c>
      <c r="C317" s="2">
        <v>7175</v>
      </c>
    </row>
    <row r="318" spans="1:3">
      <c r="A318" s="2" t="s">
        <v>118</v>
      </c>
      <c r="B318" s="2">
        <v>56000</v>
      </c>
      <c r="C318" s="2">
        <v>7650</v>
      </c>
    </row>
    <row r="319" spans="1:3">
      <c r="B319" s="2">
        <v>59000</v>
      </c>
      <c r="C319" s="2">
        <v>7837</v>
      </c>
    </row>
    <row r="320" spans="1:3">
      <c r="B320" s="2">
        <v>58500</v>
      </c>
      <c r="C320" s="2">
        <v>7550</v>
      </c>
    </row>
    <row r="321" spans="1:3">
      <c r="B321" s="2">
        <v>58500</v>
      </c>
      <c r="C321" s="2">
        <v>7500</v>
      </c>
    </row>
    <row r="322" spans="1:3">
      <c r="B322" s="2">
        <v>56000</v>
      </c>
      <c r="C322" s="2">
        <v>7562</v>
      </c>
    </row>
    <row r="323" spans="1:3">
      <c r="B323" s="2">
        <v>-100</v>
      </c>
      <c r="C323" s="2">
        <v>7500</v>
      </c>
    </row>
    <row r="324" spans="1:3">
      <c r="B324" s="2">
        <v>49000</v>
      </c>
      <c r="C324" s="2">
        <v>7200</v>
      </c>
    </row>
    <row r="325" spans="1:3">
      <c r="B325" s="2">
        <v>-100</v>
      </c>
      <c r="C325" s="2">
        <v>7050</v>
      </c>
    </row>
    <row r="326" spans="1:3">
      <c r="B326" s="2">
        <v>49000</v>
      </c>
      <c r="C326" s="2">
        <v>6625</v>
      </c>
    </row>
    <row r="327" spans="1:3">
      <c r="B327" s="2">
        <v>52000</v>
      </c>
      <c r="C327" s="2">
        <v>7050</v>
      </c>
    </row>
    <row r="328" spans="1:3">
      <c r="B328" s="2">
        <v>50000</v>
      </c>
      <c r="C328" s="2">
        <v>6975</v>
      </c>
    </row>
    <row r="329" spans="1:3">
      <c r="B329" s="2">
        <v>52000</v>
      </c>
      <c r="C329" s="2">
        <v>7250</v>
      </c>
    </row>
    <row r="330" spans="1:3">
      <c r="B330" s="2">
        <v>51000</v>
      </c>
      <c r="C330" s="2">
        <v>7025</v>
      </c>
    </row>
    <row r="331" spans="1:3">
      <c r="B331" s="2">
        <v>51250</v>
      </c>
      <c r="C331" s="2">
        <v>7100</v>
      </c>
    </row>
    <row r="332" spans="1:3">
      <c r="B332" s="2">
        <v>50000</v>
      </c>
      <c r="C332" s="2">
        <v>6750</v>
      </c>
    </row>
    <row r="333" spans="1:3">
      <c r="B333" s="2">
        <v>45000</v>
      </c>
      <c r="C333" s="2">
        <v>5850</v>
      </c>
    </row>
    <row r="334" spans="1:3">
      <c r="B334" s="2">
        <v>-100</v>
      </c>
      <c r="C334" s="2">
        <v>5000</v>
      </c>
    </row>
    <row r="335" spans="1:3">
      <c r="B335" s="2">
        <v>-100</v>
      </c>
      <c r="C335" s="2">
        <v>5500</v>
      </c>
    </row>
    <row r="336" spans="1:3">
      <c r="A336" s="2" t="s">
        <v>117</v>
      </c>
      <c r="B336" s="2">
        <v>-100</v>
      </c>
      <c r="C336" s="2">
        <v>6200</v>
      </c>
    </row>
    <row r="337" spans="1:3">
      <c r="B337" s="2">
        <v>-100</v>
      </c>
      <c r="C337" s="2">
        <v>6750</v>
      </c>
    </row>
    <row r="338" spans="1:3">
      <c r="B338" s="2">
        <v>-100</v>
      </c>
      <c r="C338" s="2">
        <v>6100</v>
      </c>
    </row>
    <row r="339" spans="1:3">
      <c r="B339" s="2">
        <v>-100</v>
      </c>
      <c r="C339" s="2">
        <v>6050</v>
      </c>
    </row>
    <row r="340" spans="1:3">
      <c r="B340" s="2">
        <v>-100</v>
      </c>
      <c r="C340" s="2">
        <v>-100</v>
      </c>
    </row>
    <row r="341" spans="1:3">
      <c r="B341" s="2">
        <v>-100</v>
      </c>
      <c r="C341" s="2">
        <v>5800</v>
      </c>
    </row>
    <row r="342" spans="1:3">
      <c r="B342" s="2">
        <v>-100</v>
      </c>
      <c r="C342" s="2">
        <v>5700</v>
      </c>
    </row>
    <row r="343" spans="1:3">
      <c r="B343" s="2">
        <v>-100</v>
      </c>
      <c r="C343" s="2">
        <v>5800</v>
      </c>
    </row>
    <row r="344" spans="1:3">
      <c r="B344" s="2">
        <v>-100</v>
      </c>
      <c r="C344" s="2">
        <v>6100</v>
      </c>
    </row>
    <row r="345" spans="1:3">
      <c r="B345" s="2">
        <v>-100</v>
      </c>
      <c r="C345" s="2">
        <v>5800</v>
      </c>
    </row>
    <row r="346" spans="1:3">
      <c r="A346" s="2" t="s">
        <v>116</v>
      </c>
      <c r="B346" s="2">
        <v>-100</v>
      </c>
      <c r="C346" s="2">
        <v>5750</v>
      </c>
    </row>
    <row r="347" spans="1:3">
      <c r="B347" s="2">
        <v>-100</v>
      </c>
      <c r="C347" s="2">
        <v>5700</v>
      </c>
    </row>
    <row r="348" spans="1:3">
      <c r="B348" s="2">
        <v>-100</v>
      </c>
      <c r="C348" s="2">
        <v>5750</v>
      </c>
    </row>
    <row r="349" spans="1:3">
      <c r="B349" s="2">
        <v>-100</v>
      </c>
      <c r="C349" s="2">
        <v>5950</v>
      </c>
    </row>
    <row r="350" spans="1:3">
      <c r="B350" s="2">
        <v>-100</v>
      </c>
      <c r="C350" s="2">
        <v>5925</v>
      </c>
    </row>
    <row r="351" spans="1:3">
      <c r="B351" s="2">
        <v>-100</v>
      </c>
      <c r="C351" s="2">
        <v>5875</v>
      </c>
    </row>
    <row r="352" spans="1:3">
      <c r="B352" s="2">
        <v>-100</v>
      </c>
      <c r="C352" s="2">
        <v>5900</v>
      </c>
    </row>
    <row r="353" spans="1:3">
      <c r="B353" s="2">
        <v>-100</v>
      </c>
      <c r="C353" s="2">
        <v>5925</v>
      </c>
    </row>
    <row r="354" spans="1:3">
      <c r="B354" s="2">
        <v>-100</v>
      </c>
      <c r="C354" s="2">
        <v>5800</v>
      </c>
    </row>
    <row r="355" spans="1:3">
      <c r="B355" s="2">
        <v>-100</v>
      </c>
      <c r="C355" s="2">
        <v>5900</v>
      </c>
    </row>
    <row r="356" spans="1:3">
      <c r="B356" s="2">
        <v>-100</v>
      </c>
      <c r="C356" s="2">
        <v>6050</v>
      </c>
    </row>
    <row r="357" spans="1:3">
      <c r="B357" s="2">
        <v>-100</v>
      </c>
      <c r="C357" s="2">
        <v>6000</v>
      </c>
    </row>
    <row r="358" spans="1:3">
      <c r="B358" s="2">
        <v>-100</v>
      </c>
      <c r="C358" s="2">
        <v>5900</v>
      </c>
    </row>
    <row r="359" spans="1:3">
      <c r="B359" s="2">
        <v>-100</v>
      </c>
      <c r="C359" s="2">
        <v>5950</v>
      </c>
    </row>
    <row r="360" spans="1:3">
      <c r="B360" s="2">
        <v>-100</v>
      </c>
      <c r="C360" s="2">
        <v>6025</v>
      </c>
    </row>
    <row r="361" spans="1:3">
      <c r="B361" s="2">
        <v>-100</v>
      </c>
      <c r="C361" s="2">
        <v>5975</v>
      </c>
    </row>
    <row r="362" spans="1:3">
      <c r="B362" s="2">
        <v>-100</v>
      </c>
      <c r="C362" s="2">
        <v>5950</v>
      </c>
    </row>
    <row r="363" spans="1:3">
      <c r="A363" s="2" t="s">
        <v>115</v>
      </c>
      <c r="B363" s="2">
        <v>-100</v>
      </c>
      <c r="C363" s="2">
        <v>6025</v>
      </c>
    </row>
    <row r="364" spans="1:3">
      <c r="B364" s="2">
        <v>-100</v>
      </c>
      <c r="C364" s="2">
        <v>5875</v>
      </c>
    </row>
    <row r="365" spans="1:3">
      <c r="B365" s="2">
        <v>-100</v>
      </c>
      <c r="C365" s="2">
        <v>5975</v>
      </c>
    </row>
    <row r="366" spans="1:3">
      <c r="B366" s="2">
        <v>-100</v>
      </c>
      <c r="C366" s="2">
        <v>5975</v>
      </c>
    </row>
    <row r="367" spans="1:3">
      <c r="B367" s="2">
        <v>-100</v>
      </c>
      <c r="C367" s="2">
        <v>5950</v>
      </c>
    </row>
    <row r="368" spans="1:3">
      <c r="B368" s="2">
        <v>-100</v>
      </c>
      <c r="C368" s="2">
        <v>5925</v>
      </c>
    </row>
    <row r="369" spans="1:3">
      <c r="B369" s="2">
        <v>-100</v>
      </c>
      <c r="C369" s="2">
        <v>5975</v>
      </c>
    </row>
    <row r="370" spans="1:3">
      <c r="B370" s="2">
        <v>-100</v>
      </c>
      <c r="C370" s="2">
        <v>6000</v>
      </c>
    </row>
    <row r="371" spans="1:3">
      <c r="B371" s="2">
        <v>-100</v>
      </c>
      <c r="C371" s="2">
        <v>6025</v>
      </c>
    </row>
    <row r="372" spans="1:3">
      <c r="B372" s="2">
        <v>-100</v>
      </c>
      <c r="C372" s="2">
        <v>6425</v>
      </c>
    </row>
    <row r="373" spans="1:3">
      <c r="A373" s="2" t="s">
        <v>114</v>
      </c>
      <c r="B373" s="2">
        <v>-100</v>
      </c>
      <c r="C373" s="2">
        <v>6450</v>
      </c>
    </row>
    <row r="374" spans="1:3">
      <c r="B374" s="2">
        <v>-100</v>
      </c>
      <c r="C374" s="2">
        <v>6250</v>
      </c>
    </row>
    <row r="375" spans="1:3">
      <c r="B375" s="2">
        <v>-100</v>
      </c>
      <c r="C375" s="2">
        <v>7175</v>
      </c>
    </row>
    <row r="376" spans="1:3">
      <c r="B376" s="2">
        <v>-100</v>
      </c>
      <c r="C376" s="2">
        <v>7025</v>
      </c>
    </row>
    <row r="377" spans="1:3">
      <c r="B377" s="2">
        <v>-100</v>
      </c>
      <c r="C377" s="2">
        <v>7150</v>
      </c>
    </row>
    <row r="378" spans="1:3">
      <c r="B378" s="2">
        <v>-100</v>
      </c>
      <c r="C378" s="2">
        <v>7275</v>
      </c>
    </row>
    <row r="379" spans="1:3">
      <c r="B379" s="2">
        <v>-100</v>
      </c>
      <c r="C379" s="2">
        <v>7350</v>
      </c>
    </row>
    <row r="380" spans="1:3">
      <c r="B380" s="2">
        <v>-100</v>
      </c>
      <c r="C380" s="2">
        <v>7500</v>
      </c>
    </row>
    <row r="381" spans="1:3">
      <c r="B381" s="2">
        <v>-100</v>
      </c>
      <c r="C381" s="2">
        <v>7750</v>
      </c>
    </row>
    <row r="382" spans="1:3">
      <c r="B382" s="2">
        <v>-100</v>
      </c>
      <c r="C382" s="2">
        <v>8100</v>
      </c>
    </row>
    <row r="383" spans="1:3">
      <c r="B383" s="2">
        <v>-100</v>
      </c>
      <c r="C383" s="2">
        <v>8025</v>
      </c>
    </row>
    <row r="384" spans="1:3">
      <c r="B384" s="2">
        <v>-100</v>
      </c>
      <c r="C384" s="2">
        <v>8200</v>
      </c>
    </row>
    <row r="385" spans="1:3">
      <c r="B385" s="2">
        <v>-100</v>
      </c>
      <c r="C385" s="2">
        <v>8300</v>
      </c>
    </row>
    <row r="386" spans="1:3">
      <c r="B386" s="2">
        <v>-100</v>
      </c>
      <c r="C386" s="2">
        <v>8300</v>
      </c>
    </row>
    <row r="387" spans="1:3">
      <c r="B387" s="2">
        <v>-100</v>
      </c>
      <c r="C387" s="2">
        <v>8450</v>
      </c>
    </row>
    <row r="388" spans="1:3">
      <c r="B388" s="2">
        <v>-100</v>
      </c>
      <c r="C388" s="2">
        <v>8500</v>
      </c>
    </row>
    <row r="389" spans="1:3">
      <c r="B389" s="2">
        <v>-100</v>
      </c>
      <c r="C389" s="2">
        <v>8600</v>
      </c>
    </row>
    <row r="390" spans="1:3">
      <c r="A390" s="2" t="s">
        <v>113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4:M84"/>
  <sheetViews>
    <sheetView zoomScaleSheetLayoutView="1" workbookViewId="0"/>
  </sheetViews>
  <sheetFormatPr defaultRowHeight="12.75"/>
  <cols>
    <col min="1" max="13" width="9.140625" style="2"/>
    <col min="14" max="16384" width="9.140625" style="1"/>
  </cols>
  <sheetData>
    <row r="4" spans="1:11">
      <c r="A4" s="2" t="s">
        <v>45</v>
      </c>
      <c r="B4" s="2" t="s">
        <v>110</v>
      </c>
      <c r="C4" s="2" t="s">
        <v>101</v>
      </c>
      <c r="D4" s="2" t="s">
        <v>109</v>
      </c>
      <c r="E4" s="2" t="s">
        <v>108</v>
      </c>
      <c r="F4" s="2" t="s">
        <v>107</v>
      </c>
      <c r="G4" s="2" t="s">
        <v>106</v>
      </c>
      <c r="H4" s="2" t="s">
        <v>105</v>
      </c>
      <c r="I4" s="2" t="s">
        <v>104</v>
      </c>
      <c r="J4" s="2" t="s">
        <v>103</v>
      </c>
      <c r="K4" s="2" t="s">
        <v>112</v>
      </c>
    </row>
    <row r="5" spans="1:11">
      <c r="A5" s="2" t="s">
        <v>111</v>
      </c>
      <c r="B5" s="2">
        <v>1420</v>
      </c>
      <c r="C5" s="2">
        <v>204</v>
      </c>
      <c r="K5" s="2">
        <v>32.5</v>
      </c>
    </row>
    <row r="6" spans="1:11">
      <c r="A6" s="2">
        <v>11</v>
      </c>
      <c r="B6" s="2">
        <v>1675</v>
      </c>
      <c r="C6" s="2">
        <v>185</v>
      </c>
      <c r="K6" s="2">
        <v>32.5</v>
      </c>
    </row>
    <row r="7" spans="1:11">
      <c r="A7" s="2">
        <v>21</v>
      </c>
      <c r="B7" s="2">
        <v>1637</v>
      </c>
      <c r="C7" s="2">
        <v>198</v>
      </c>
      <c r="K7" s="2">
        <v>32.5</v>
      </c>
    </row>
    <row r="8" spans="1:11">
      <c r="A8" s="2" t="s">
        <v>27</v>
      </c>
      <c r="B8" s="2">
        <v>1685</v>
      </c>
      <c r="C8" s="2">
        <v>229</v>
      </c>
      <c r="K8" s="2">
        <v>32.5</v>
      </c>
    </row>
    <row r="9" spans="1:11">
      <c r="A9" s="2">
        <v>11</v>
      </c>
      <c r="B9" s="2">
        <v>2030</v>
      </c>
      <c r="C9" s="2">
        <v>292</v>
      </c>
      <c r="K9" s="2">
        <v>32.5</v>
      </c>
    </row>
    <row r="10" spans="1:11">
      <c r="A10" s="2">
        <v>21</v>
      </c>
      <c r="B10" s="2">
        <v>2450</v>
      </c>
      <c r="C10" s="2">
        <v>390</v>
      </c>
      <c r="K10" s="2">
        <v>45</v>
      </c>
    </row>
    <row r="11" spans="1:11">
      <c r="A11" s="2" t="s">
        <v>38</v>
      </c>
      <c r="B11" s="2">
        <v>3200</v>
      </c>
      <c r="K11" s="2">
        <v>45</v>
      </c>
    </row>
    <row r="12" spans="1:11">
      <c r="A12" s="2">
        <v>11</v>
      </c>
      <c r="B12" s="2">
        <v>3150</v>
      </c>
      <c r="C12" s="2">
        <v>417</v>
      </c>
      <c r="K12" s="2">
        <v>45</v>
      </c>
    </row>
    <row r="13" spans="1:11">
      <c r="A13" s="2">
        <v>21</v>
      </c>
      <c r="B13" s="2">
        <v>5000</v>
      </c>
      <c r="C13" s="2">
        <v>637</v>
      </c>
      <c r="K13" s="2">
        <v>70</v>
      </c>
    </row>
    <row r="14" spans="1:11">
      <c r="A14" s="2" t="s">
        <v>37</v>
      </c>
      <c r="B14" s="2">
        <v>7800</v>
      </c>
      <c r="C14" s="2">
        <v>893</v>
      </c>
      <c r="K14" s="2">
        <v>70</v>
      </c>
    </row>
    <row r="15" spans="1:11">
      <c r="A15" s="2">
        <v>11</v>
      </c>
      <c r="B15" s="2">
        <v>7000</v>
      </c>
      <c r="C15" s="2">
        <v>788</v>
      </c>
      <c r="K15" s="2">
        <v>70</v>
      </c>
    </row>
    <row r="16" spans="1:11">
      <c r="A16" s="2">
        <v>21</v>
      </c>
      <c r="B16" s="2">
        <v>5900</v>
      </c>
      <c r="C16" s="2">
        <v>720</v>
      </c>
      <c r="K16" s="2">
        <v>70</v>
      </c>
    </row>
    <row r="17" spans="1:11">
      <c r="A17" s="2" t="s">
        <v>36</v>
      </c>
      <c r="B17" s="2">
        <v>6100</v>
      </c>
      <c r="C17" s="2">
        <v>755</v>
      </c>
      <c r="K17" s="2">
        <v>70</v>
      </c>
    </row>
    <row r="18" spans="1:11">
      <c r="A18" s="2">
        <v>11</v>
      </c>
      <c r="B18" s="2">
        <v>6400</v>
      </c>
      <c r="C18" s="2">
        <v>823</v>
      </c>
      <c r="K18" s="2">
        <v>70</v>
      </c>
    </row>
    <row r="19" spans="1:11">
      <c r="A19" s="2">
        <v>21</v>
      </c>
      <c r="B19" s="2">
        <v>6250</v>
      </c>
      <c r="C19" s="2">
        <v>802</v>
      </c>
      <c r="K19" s="2">
        <v>70</v>
      </c>
    </row>
    <row r="20" spans="1:11">
      <c r="A20" s="2" t="s">
        <v>35</v>
      </c>
      <c r="B20" s="2">
        <v>6750</v>
      </c>
      <c r="C20" s="2">
        <v>883</v>
      </c>
      <c r="D20" s="2">
        <v>52.5</v>
      </c>
      <c r="E20" s="2">
        <v>61</v>
      </c>
      <c r="F20" s="2">
        <v>57</v>
      </c>
      <c r="G20" s="2">
        <v>39.5</v>
      </c>
      <c r="H20" s="2">
        <v>31.5</v>
      </c>
      <c r="I20" s="2">
        <v>41</v>
      </c>
      <c r="K20" s="2">
        <v>70</v>
      </c>
    </row>
    <row r="21" spans="1:11">
      <c r="A21" s="2">
        <v>11</v>
      </c>
      <c r="B21" s="2">
        <v>7400</v>
      </c>
      <c r="C21" s="2">
        <v>1050</v>
      </c>
      <c r="D21" s="2">
        <v>51.5</v>
      </c>
      <c r="E21" s="2">
        <v>63.5</v>
      </c>
      <c r="F21" s="2">
        <v>59</v>
      </c>
      <c r="G21" s="2">
        <v>44.5</v>
      </c>
      <c r="H21" s="2">
        <v>36</v>
      </c>
      <c r="I21" s="2">
        <v>43.5</v>
      </c>
      <c r="K21" s="2">
        <v>120</v>
      </c>
    </row>
    <row r="22" spans="1:11">
      <c r="A22" s="2">
        <v>21</v>
      </c>
      <c r="B22" s="2">
        <v>8050</v>
      </c>
      <c r="C22" s="2">
        <v>1154</v>
      </c>
      <c r="D22" s="2">
        <v>52.5</v>
      </c>
      <c r="E22" s="2">
        <v>65</v>
      </c>
      <c r="F22" s="2">
        <v>61</v>
      </c>
      <c r="G22" s="2">
        <v>38.5</v>
      </c>
      <c r="H22" s="2">
        <v>31</v>
      </c>
      <c r="I22" s="2">
        <v>43</v>
      </c>
      <c r="K22" s="2">
        <v>120</v>
      </c>
    </row>
    <row r="23" spans="1:11">
      <c r="A23" s="2" t="s">
        <v>102</v>
      </c>
      <c r="B23" s="2">
        <v>7425</v>
      </c>
      <c r="C23" s="2">
        <v>1200</v>
      </c>
      <c r="D23" s="2">
        <v>61</v>
      </c>
      <c r="E23" s="2">
        <v>69.5</v>
      </c>
      <c r="F23" s="2">
        <v>59.5</v>
      </c>
      <c r="G23" s="2">
        <v>41.5</v>
      </c>
      <c r="H23" s="2">
        <v>35.5</v>
      </c>
      <c r="I23" s="2">
        <v>42.5</v>
      </c>
      <c r="K23" s="2">
        <v>120</v>
      </c>
    </row>
    <row r="24" spans="1:11">
      <c r="A24" s="2">
        <v>11</v>
      </c>
      <c r="B24" s="2">
        <v>7750</v>
      </c>
      <c r="C24" s="2">
        <v>1240</v>
      </c>
      <c r="D24" s="2">
        <v>65.5</v>
      </c>
      <c r="E24" s="2">
        <v>73.5</v>
      </c>
      <c r="F24" s="2">
        <v>64.5</v>
      </c>
      <c r="G24" s="2">
        <v>48.5</v>
      </c>
      <c r="H24" s="2">
        <v>37.5</v>
      </c>
      <c r="I24" s="2">
        <v>45.5</v>
      </c>
      <c r="K24" s="2">
        <v>120</v>
      </c>
    </row>
    <row r="25" spans="1:11">
      <c r="A25" s="2">
        <v>21</v>
      </c>
      <c r="B25" s="2">
        <v>8800</v>
      </c>
      <c r="C25" s="2">
        <v>1380</v>
      </c>
      <c r="D25" s="2">
        <v>66.5</v>
      </c>
      <c r="E25" s="2">
        <v>73.5</v>
      </c>
      <c r="F25" s="2">
        <v>67.5</v>
      </c>
      <c r="G25" s="2">
        <v>54.5</v>
      </c>
      <c r="H25" s="2">
        <v>46.5</v>
      </c>
      <c r="I25" s="2">
        <v>51.5</v>
      </c>
      <c r="K25" s="2">
        <v>120</v>
      </c>
    </row>
    <row r="26" spans="1:11">
      <c r="A26" s="2" t="s">
        <v>33</v>
      </c>
      <c r="B26" s="2">
        <v>10900</v>
      </c>
      <c r="C26" s="2">
        <v>1685</v>
      </c>
      <c r="D26" s="2">
        <v>89.5</v>
      </c>
      <c r="E26" s="2">
        <v>89.5</v>
      </c>
      <c r="F26" s="2">
        <v>79.5</v>
      </c>
      <c r="G26" s="2">
        <v>59.5</v>
      </c>
      <c r="H26" s="2">
        <v>43.5</v>
      </c>
      <c r="I26" s="2">
        <v>54.5</v>
      </c>
      <c r="K26" s="2">
        <v>250</v>
      </c>
    </row>
    <row r="27" spans="1:11">
      <c r="A27" s="2">
        <v>11</v>
      </c>
      <c r="B27" s="2">
        <v>18000</v>
      </c>
      <c r="C27" s="2">
        <v>2588</v>
      </c>
      <c r="D27" s="2">
        <v>140</v>
      </c>
      <c r="E27" s="2">
        <v>160</v>
      </c>
      <c r="F27" s="2">
        <v>140</v>
      </c>
      <c r="G27" s="2">
        <v>81.5</v>
      </c>
      <c r="H27" s="2">
        <v>64.5</v>
      </c>
      <c r="I27" s="2">
        <v>72.5</v>
      </c>
      <c r="J27" s="2">
        <v>80</v>
      </c>
      <c r="K27" s="2">
        <v>250</v>
      </c>
    </row>
    <row r="28" spans="1:11">
      <c r="A28" s="2">
        <v>21</v>
      </c>
      <c r="B28" s="2">
        <v>22250</v>
      </c>
      <c r="C28" s="2">
        <v>3212</v>
      </c>
      <c r="D28" s="2">
        <v>175</v>
      </c>
      <c r="E28" s="2">
        <v>170</v>
      </c>
      <c r="F28" s="2">
        <v>150</v>
      </c>
      <c r="G28" s="2">
        <v>125</v>
      </c>
      <c r="I28" s="2">
        <v>79.5</v>
      </c>
      <c r="J28" s="2">
        <v>120</v>
      </c>
      <c r="K28" s="2">
        <v>250</v>
      </c>
    </row>
    <row r="29" spans="1:11">
      <c r="A29" s="2" t="s">
        <v>32</v>
      </c>
      <c r="B29" s="2">
        <v>23750</v>
      </c>
      <c r="C29" s="2">
        <v>3401</v>
      </c>
      <c r="D29" s="2">
        <v>185</v>
      </c>
      <c r="E29" s="2">
        <v>190</v>
      </c>
      <c r="F29" s="2">
        <v>160</v>
      </c>
      <c r="G29" s="2">
        <v>145</v>
      </c>
      <c r="I29" s="2">
        <v>145</v>
      </c>
      <c r="J29" s="2">
        <v>120</v>
      </c>
      <c r="K29" s="2">
        <v>500</v>
      </c>
    </row>
    <row r="30" spans="1:11">
      <c r="A30" s="2">
        <v>11</v>
      </c>
      <c r="B30" s="2">
        <v>26000</v>
      </c>
      <c r="C30" s="2">
        <v>3575</v>
      </c>
      <c r="D30" s="2">
        <v>205</v>
      </c>
      <c r="E30" s="2">
        <v>190</v>
      </c>
      <c r="F30" s="2">
        <v>180</v>
      </c>
      <c r="G30" s="2">
        <v>160</v>
      </c>
      <c r="I30" s="2">
        <v>120</v>
      </c>
      <c r="J30" s="2">
        <v>200</v>
      </c>
      <c r="K30" s="2">
        <v>500</v>
      </c>
    </row>
    <row r="31" spans="1:11">
      <c r="A31" s="2">
        <v>21</v>
      </c>
      <c r="B31" s="2">
        <v>23166</v>
      </c>
      <c r="C31" s="2">
        <v>3290</v>
      </c>
      <c r="D31" s="2">
        <v>300</v>
      </c>
      <c r="E31" s="2">
        <v>260</v>
      </c>
      <c r="F31" s="2">
        <v>200</v>
      </c>
      <c r="G31" s="2">
        <v>200</v>
      </c>
      <c r="I31" s="2">
        <v>130</v>
      </c>
      <c r="K31" s="2">
        <v>1000</v>
      </c>
    </row>
    <row r="32" spans="1:11">
      <c r="A32" s="2" t="s">
        <v>31</v>
      </c>
      <c r="B32" s="2">
        <v>39666</v>
      </c>
      <c r="C32" s="2">
        <v>5485</v>
      </c>
      <c r="K32" s="2">
        <v>1000</v>
      </c>
    </row>
    <row r="33" spans="1:12">
      <c r="A33" s="2">
        <v>11</v>
      </c>
      <c r="B33" s="2">
        <v>31500</v>
      </c>
      <c r="C33" s="2">
        <v>4658</v>
      </c>
      <c r="K33" s="2">
        <v>1000</v>
      </c>
    </row>
    <row r="34" spans="1:12">
      <c r="A34" s="2">
        <v>21</v>
      </c>
      <c r="B34" s="2">
        <v>39833</v>
      </c>
      <c r="C34" s="2">
        <v>5559</v>
      </c>
      <c r="D34" s="2">
        <v>290</v>
      </c>
      <c r="E34" s="2">
        <v>300</v>
      </c>
      <c r="F34" s="2">
        <v>250</v>
      </c>
      <c r="G34" s="2">
        <v>190</v>
      </c>
      <c r="I34" s="2">
        <v>121</v>
      </c>
      <c r="K34" s="2">
        <v>1250</v>
      </c>
    </row>
    <row r="35" spans="1:12">
      <c r="A35" s="2" t="s">
        <v>30</v>
      </c>
      <c r="B35" s="2">
        <v>38250</v>
      </c>
      <c r="C35" s="2">
        <v>5525</v>
      </c>
      <c r="D35" s="2">
        <v>210</v>
      </c>
      <c r="E35" s="2">
        <v>300</v>
      </c>
      <c r="F35" s="2">
        <v>250</v>
      </c>
      <c r="G35" s="2">
        <v>182</v>
      </c>
      <c r="I35" s="2">
        <v>125</v>
      </c>
      <c r="K35" s="2">
        <v>1250</v>
      </c>
    </row>
    <row r="36" spans="1:12">
      <c r="A36" s="2">
        <v>11</v>
      </c>
      <c r="B36" s="2">
        <v>36750</v>
      </c>
      <c r="C36" s="2">
        <v>5243</v>
      </c>
      <c r="D36" s="2">
        <v>225</v>
      </c>
      <c r="E36" s="2">
        <v>320</v>
      </c>
      <c r="F36" s="2">
        <v>270</v>
      </c>
      <c r="G36" s="2">
        <v>212</v>
      </c>
      <c r="I36" s="2">
        <v>135</v>
      </c>
      <c r="K36" s="2">
        <v>1250</v>
      </c>
    </row>
    <row r="37" spans="1:12">
      <c r="A37" s="2">
        <v>21</v>
      </c>
      <c r="B37" s="2">
        <v>44000</v>
      </c>
      <c r="C37" s="2">
        <v>6119</v>
      </c>
      <c r="D37" s="2">
        <v>360</v>
      </c>
      <c r="E37" s="2">
        <v>370</v>
      </c>
      <c r="F37" s="2">
        <v>280</v>
      </c>
      <c r="G37" s="2">
        <v>225</v>
      </c>
      <c r="I37" s="2">
        <v>140</v>
      </c>
      <c r="K37" s="2">
        <v>1250</v>
      </c>
    </row>
    <row r="38" spans="1:12">
      <c r="A38" s="2" t="s">
        <v>29</v>
      </c>
      <c r="B38" s="2">
        <v>53000</v>
      </c>
      <c r="C38" s="2">
        <v>7011</v>
      </c>
      <c r="D38" s="2">
        <v>415</v>
      </c>
      <c r="E38" s="2">
        <v>470</v>
      </c>
      <c r="F38" s="2">
        <v>370</v>
      </c>
      <c r="G38" s="2">
        <v>242</v>
      </c>
      <c r="I38" s="2">
        <v>140</v>
      </c>
      <c r="K38" s="2">
        <v>1250</v>
      </c>
    </row>
    <row r="39" spans="1:12">
      <c r="A39" s="2">
        <v>11</v>
      </c>
      <c r="B39" s="2">
        <v>184</v>
      </c>
      <c r="C39" s="2">
        <v>24</v>
      </c>
      <c r="D39" s="2">
        <v>1.65</v>
      </c>
      <c r="E39" s="2">
        <v>1.75</v>
      </c>
      <c r="F39" s="2">
        <v>1.4</v>
      </c>
      <c r="G39" s="2">
        <v>0.95</v>
      </c>
      <c r="I39" s="2">
        <v>0.6</v>
      </c>
      <c r="J39" s="2">
        <v>1.3</v>
      </c>
      <c r="K39" s="2">
        <v>18</v>
      </c>
    </row>
    <row r="40" spans="1:12">
      <c r="A40" s="2">
        <v>21</v>
      </c>
      <c r="B40" s="2">
        <v>180</v>
      </c>
    </row>
    <row r="44" spans="1:12">
      <c r="A44" s="2" t="s">
        <v>45</v>
      </c>
      <c r="B44" s="2" t="s">
        <v>110</v>
      </c>
      <c r="C44" s="2" t="s">
        <v>101</v>
      </c>
      <c r="D44" s="2" t="s">
        <v>109</v>
      </c>
      <c r="E44" s="2" t="s">
        <v>108</v>
      </c>
      <c r="F44" s="2" t="s">
        <v>107</v>
      </c>
      <c r="G44" s="2" t="s">
        <v>106</v>
      </c>
      <c r="H44" s="2" t="s">
        <v>105</v>
      </c>
      <c r="I44" s="2" t="s">
        <v>104</v>
      </c>
      <c r="J44" s="2" t="s">
        <v>103</v>
      </c>
    </row>
    <row r="46" spans="1:12">
      <c r="A46" s="2" t="s">
        <v>35</v>
      </c>
      <c r="B46" s="2">
        <f t="shared" ref="B46:G57" si="0">1/B$39*B20</f>
        <v>36.684782608695649</v>
      </c>
      <c r="C46" s="2">
        <f t="shared" si="0"/>
        <v>36.791666666666664</v>
      </c>
      <c r="D46" s="2">
        <f t="shared" si="0"/>
        <v>31.81818181818182</v>
      </c>
      <c r="E46" s="2">
        <f t="shared" si="0"/>
        <v>34.857142857142854</v>
      </c>
      <c r="F46" s="2">
        <f t="shared" si="0"/>
        <v>40.714285714285715</v>
      </c>
      <c r="G46" s="2">
        <f t="shared" si="0"/>
        <v>41.578947368421048</v>
      </c>
      <c r="I46" s="2">
        <f t="shared" ref="I46:I57" si="1">1/I$39*I20</f>
        <v>68.333333333333343</v>
      </c>
      <c r="K46" s="2">
        <f t="shared" ref="K46:K64" si="2">1/K$39*K20</f>
        <v>3.8888888888888888</v>
      </c>
      <c r="L46" s="2">
        <f t="shared" ref="L46:L64" si="3">AVERAGEA(D46:G46)</f>
        <v>37.242139439507859</v>
      </c>
    </row>
    <row r="47" spans="1:12">
      <c r="A47" s="2">
        <v>11</v>
      </c>
      <c r="B47" s="2">
        <f t="shared" si="0"/>
        <v>40.217391304347828</v>
      </c>
      <c r="C47" s="2">
        <f t="shared" si="0"/>
        <v>43.75</v>
      </c>
      <c r="D47" s="2">
        <f t="shared" si="0"/>
        <v>31.212121212121215</v>
      </c>
      <c r="E47" s="2">
        <f t="shared" si="0"/>
        <v>36.285714285714285</v>
      </c>
      <c r="F47" s="2">
        <f t="shared" si="0"/>
        <v>42.142857142857146</v>
      </c>
      <c r="G47" s="2">
        <f t="shared" si="0"/>
        <v>46.84210526315789</v>
      </c>
      <c r="I47" s="2">
        <f t="shared" si="1"/>
        <v>72.5</v>
      </c>
      <c r="K47" s="2">
        <f t="shared" si="2"/>
        <v>6.6666666666666661</v>
      </c>
      <c r="L47" s="2">
        <f t="shared" si="3"/>
        <v>39.120699475962631</v>
      </c>
    </row>
    <row r="48" spans="1:12">
      <c r="A48" s="2">
        <v>21</v>
      </c>
      <c r="B48" s="2">
        <f t="shared" si="0"/>
        <v>43.75</v>
      </c>
      <c r="C48" s="2">
        <f t="shared" si="0"/>
        <v>48.083333333333329</v>
      </c>
      <c r="D48" s="2">
        <f t="shared" si="0"/>
        <v>31.81818181818182</v>
      </c>
      <c r="E48" s="2">
        <f t="shared" si="0"/>
        <v>37.142857142857139</v>
      </c>
      <c r="F48" s="2">
        <f t="shared" si="0"/>
        <v>43.571428571428569</v>
      </c>
      <c r="G48" s="2">
        <f t="shared" si="0"/>
        <v>40.526315789473685</v>
      </c>
      <c r="I48" s="2">
        <f t="shared" si="1"/>
        <v>71.666666666666671</v>
      </c>
      <c r="K48" s="2">
        <f t="shared" si="2"/>
        <v>6.6666666666666661</v>
      </c>
      <c r="L48" s="2">
        <f t="shared" si="3"/>
        <v>38.264695830485302</v>
      </c>
    </row>
    <row r="49" spans="1:12">
      <c r="A49" s="2" t="s">
        <v>102</v>
      </c>
      <c r="B49" s="2">
        <f t="shared" si="0"/>
        <v>40.353260869565219</v>
      </c>
      <c r="C49" s="2">
        <f t="shared" si="0"/>
        <v>50</v>
      </c>
      <c r="D49" s="2">
        <f t="shared" si="0"/>
        <v>36.969696969696969</v>
      </c>
      <c r="E49" s="2">
        <f t="shared" si="0"/>
        <v>39.714285714285715</v>
      </c>
      <c r="F49" s="2">
        <f t="shared" si="0"/>
        <v>42.5</v>
      </c>
      <c r="G49" s="2">
        <f t="shared" si="0"/>
        <v>43.684210526315788</v>
      </c>
      <c r="I49" s="2">
        <f t="shared" si="1"/>
        <v>70.833333333333343</v>
      </c>
      <c r="K49" s="2">
        <f t="shared" si="2"/>
        <v>6.6666666666666661</v>
      </c>
      <c r="L49" s="2">
        <f t="shared" si="3"/>
        <v>40.717048302574618</v>
      </c>
    </row>
    <row r="50" spans="1:12">
      <c r="A50" s="2">
        <v>11</v>
      </c>
      <c r="B50" s="2">
        <f t="shared" si="0"/>
        <v>42.119565217391305</v>
      </c>
      <c r="C50" s="2">
        <f t="shared" si="0"/>
        <v>51.666666666666664</v>
      </c>
      <c r="D50" s="2">
        <f t="shared" si="0"/>
        <v>39.696969696969695</v>
      </c>
      <c r="E50" s="2">
        <f t="shared" si="0"/>
        <v>42</v>
      </c>
      <c r="F50" s="2">
        <f t="shared" si="0"/>
        <v>46.071428571428569</v>
      </c>
      <c r="G50" s="2">
        <f t="shared" si="0"/>
        <v>51.052631578947363</v>
      </c>
      <c r="I50" s="2">
        <f t="shared" si="1"/>
        <v>75.833333333333343</v>
      </c>
      <c r="K50" s="2">
        <f t="shared" si="2"/>
        <v>6.6666666666666661</v>
      </c>
      <c r="L50" s="2">
        <f t="shared" si="3"/>
        <v>44.705257461836403</v>
      </c>
    </row>
    <row r="51" spans="1:12">
      <c r="A51" s="2">
        <v>21</v>
      </c>
      <c r="B51" s="2">
        <f t="shared" si="0"/>
        <v>47.826086956521735</v>
      </c>
      <c r="C51" s="2">
        <f t="shared" si="0"/>
        <v>57.5</v>
      </c>
      <c r="D51" s="2">
        <f t="shared" si="0"/>
        <v>40.303030303030305</v>
      </c>
      <c r="E51" s="2">
        <f t="shared" si="0"/>
        <v>42</v>
      </c>
      <c r="F51" s="2">
        <f t="shared" si="0"/>
        <v>48.214285714285715</v>
      </c>
      <c r="G51" s="2">
        <f t="shared" si="0"/>
        <v>57.368421052631575</v>
      </c>
      <c r="I51" s="2">
        <f t="shared" si="1"/>
        <v>85.833333333333343</v>
      </c>
      <c r="K51" s="2">
        <f t="shared" si="2"/>
        <v>6.6666666666666661</v>
      </c>
      <c r="L51" s="2">
        <f t="shared" si="3"/>
        <v>46.971434267486899</v>
      </c>
    </row>
    <row r="52" spans="1:12">
      <c r="A52" s="2" t="s">
        <v>33</v>
      </c>
      <c r="B52" s="2">
        <f t="shared" si="0"/>
        <v>59.239130434782609</v>
      </c>
      <c r="C52" s="2">
        <f t="shared" si="0"/>
        <v>70.208333333333329</v>
      </c>
      <c r="D52" s="2">
        <f t="shared" si="0"/>
        <v>54.242424242424242</v>
      </c>
      <c r="E52" s="2">
        <f t="shared" si="0"/>
        <v>51.142857142857139</v>
      </c>
      <c r="F52" s="2">
        <f t="shared" si="0"/>
        <v>56.785714285714285</v>
      </c>
      <c r="G52" s="2">
        <f t="shared" si="0"/>
        <v>62.631578947368418</v>
      </c>
      <c r="I52" s="2">
        <f t="shared" si="1"/>
        <v>90.833333333333343</v>
      </c>
      <c r="K52" s="2">
        <f t="shared" si="2"/>
        <v>13.888888888888888</v>
      </c>
      <c r="L52" s="2">
        <f t="shared" si="3"/>
        <v>56.200643654591019</v>
      </c>
    </row>
    <row r="53" spans="1:12">
      <c r="A53" s="2">
        <v>11</v>
      </c>
      <c r="B53" s="2">
        <f t="shared" si="0"/>
        <v>97.826086956521735</v>
      </c>
      <c r="C53" s="2">
        <f t="shared" si="0"/>
        <v>107.83333333333333</v>
      </c>
      <c r="D53" s="2">
        <f t="shared" si="0"/>
        <v>84.848484848484844</v>
      </c>
      <c r="E53" s="2">
        <f t="shared" si="0"/>
        <v>91.428571428571416</v>
      </c>
      <c r="F53" s="2">
        <f t="shared" si="0"/>
        <v>100</v>
      </c>
      <c r="G53" s="2">
        <f t="shared" si="0"/>
        <v>85.78947368421052</v>
      </c>
      <c r="I53" s="2">
        <f t="shared" si="1"/>
        <v>120.83333333333334</v>
      </c>
      <c r="J53" s="2">
        <f>1/J$39*J27</f>
        <v>61.538461538461533</v>
      </c>
      <c r="K53" s="2">
        <f t="shared" si="2"/>
        <v>13.888888888888888</v>
      </c>
      <c r="L53" s="2">
        <f t="shared" si="3"/>
        <v>90.516632490316695</v>
      </c>
    </row>
    <row r="54" spans="1:12">
      <c r="A54" s="2">
        <v>21</v>
      </c>
      <c r="B54" s="2">
        <f t="shared" si="0"/>
        <v>120.92391304347825</v>
      </c>
      <c r="C54" s="2">
        <f t="shared" si="0"/>
        <v>133.83333333333331</v>
      </c>
      <c r="D54" s="2">
        <f t="shared" si="0"/>
        <v>106.06060606060606</v>
      </c>
      <c r="E54" s="2">
        <f t="shared" si="0"/>
        <v>97.142857142857139</v>
      </c>
      <c r="F54" s="2">
        <f t="shared" si="0"/>
        <v>107.14285714285714</v>
      </c>
      <c r="G54" s="2">
        <f t="shared" si="0"/>
        <v>131.57894736842104</v>
      </c>
      <c r="I54" s="2">
        <f t="shared" si="1"/>
        <v>132.5</v>
      </c>
      <c r="J54" s="2">
        <f>1/J$39*J28</f>
        <v>92.307692307692292</v>
      </c>
      <c r="K54" s="2">
        <f t="shared" si="2"/>
        <v>13.888888888888888</v>
      </c>
      <c r="L54" s="2">
        <f t="shared" si="3"/>
        <v>110.48131692868535</v>
      </c>
    </row>
    <row r="55" spans="1:12">
      <c r="A55" s="2" t="s">
        <v>32</v>
      </c>
      <c r="B55" s="2">
        <f t="shared" si="0"/>
        <v>129.07608695652175</v>
      </c>
      <c r="C55" s="2">
        <f t="shared" si="0"/>
        <v>141.70833333333331</v>
      </c>
      <c r="D55" s="2">
        <f t="shared" si="0"/>
        <v>112.12121212121212</v>
      </c>
      <c r="E55" s="2">
        <f t="shared" si="0"/>
        <v>108.57142857142857</v>
      </c>
      <c r="F55" s="2">
        <f t="shared" si="0"/>
        <v>114.28571428571429</v>
      </c>
      <c r="G55" s="2">
        <f t="shared" si="0"/>
        <v>152.63157894736841</v>
      </c>
      <c r="I55" s="2">
        <f t="shared" si="1"/>
        <v>241.66666666666669</v>
      </c>
      <c r="J55" s="2">
        <f>1/J$39*J29</f>
        <v>92.307692307692292</v>
      </c>
      <c r="K55" s="2">
        <f t="shared" si="2"/>
        <v>27.777777777777775</v>
      </c>
      <c r="L55" s="2">
        <f t="shared" si="3"/>
        <v>121.90248348143083</v>
      </c>
    </row>
    <row r="56" spans="1:12">
      <c r="A56" s="2">
        <v>11</v>
      </c>
      <c r="B56" s="2">
        <f t="shared" si="0"/>
        <v>141.30434782608694</v>
      </c>
      <c r="C56" s="2">
        <f t="shared" si="0"/>
        <v>148.95833333333331</v>
      </c>
      <c r="D56" s="2">
        <f t="shared" si="0"/>
        <v>124.24242424242425</v>
      </c>
      <c r="E56" s="2">
        <f t="shared" si="0"/>
        <v>108.57142857142857</v>
      </c>
      <c r="F56" s="2">
        <f t="shared" si="0"/>
        <v>128.57142857142858</v>
      </c>
      <c r="G56" s="2">
        <f t="shared" si="0"/>
        <v>168.42105263157893</v>
      </c>
      <c r="I56" s="2">
        <f t="shared" si="1"/>
        <v>200</v>
      </c>
      <c r="J56" s="2">
        <f>1/J$39*J30</f>
        <v>153.84615384615384</v>
      </c>
      <c r="K56" s="2">
        <f t="shared" si="2"/>
        <v>27.777777777777775</v>
      </c>
      <c r="L56" s="2">
        <f t="shared" si="3"/>
        <v>132.45158350421508</v>
      </c>
    </row>
    <row r="57" spans="1:12">
      <c r="A57" s="2">
        <v>21</v>
      </c>
      <c r="B57" s="2">
        <f t="shared" si="0"/>
        <v>125.90217391304347</v>
      </c>
      <c r="C57" s="2">
        <f t="shared" si="0"/>
        <v>137.08333333333331</v>
      </c>
      <c r="D57" s="2">
        <f t="shared" si="0"/>
        <v>181.81818181818181</v>
      </c>
      <c r="E57" s="2">
        <f t="shared" si="0"/>
        <v>148.57142857142856</v>
      </c>
      <c r="F57" s="2">
        <f t="shared" si="0"/>
        <v>142.85714285714286</v>
      </c>
      <c r="G57" s="2">
        <f t="shared" si="0"/>
        <v>210.52631578947367</v>
      </c>
      <c r="I57" s="2">
        <f t="shared" si="1"/>
        <v>216.66666666666669</v>
      </c>
      <c r="K57" s="2">
        <f t="shared" si="2"/>
        <v>55.55555555555555</v>
      </c>
      <c r="L57" s="2">
        <f t="shared" si="3"/>
        <v>170.94326725905671</v>
      </c>
    </row>
    <row r="58" spans="1:12">
      <c r="A58" s="2" t="s">
        <v>31</v>
      </c>
      <c r="B58" s="2">
        <f t="shared" ref="B58:C64" si="4">1/B$39*B32</f>
        <v>215.57608695652172</v>
      </c>
      <c r="C58" s="2">
        <f t="shared" si="4"/>
        <v>228.54166666666666</v>
      </c>
      <c r="K58" s="2">
        <f t="shared" si="2"/>
        <v>55.55555555555555</v>
      </c>
      <c r="L58" s="2" t="e">
        <f t="shared" si="3"/>
        <v>#DIV/0!</v>
      </c>
    </row>
    <row r="59" spans="1:12">
      <c r="A59" s="2">
        <v>11</v>
      </c>
      <c r="B59" s="2">
        <f t="shared" si="4"/>
        <v>171.19565217391303</v>
      </c>
      <c r="C59" s="2">
        <f t="shared" si="4"/>
        <v>194.08333333333331</v>
      </c>
      <c r="K59" s="2">
        <f t="shared" si="2"/>
        <v>55.55555555555555</v>
      </c>
      <c r="L59" s="2" t="e">
        <f t="shared" si="3"/>
        <v>#DIV/0!</v>
      </c>
    </row>
    <row r="60" spans="1:12">
      <c r="A60" s="2">
        <v>21</v>
      </c>
      <c r="B60" s="2">
        <f t="shared" si="4"/>
        <v>216.48369565217391</v>
      </c>
      <c r="C60" s="2">
        <f t="shared" si="4"/>
        <v>231.625</v>
      </c>
      <c r="D60" s="2">
        <f t="shared" ref="D60:G64" si="5">1/D$39*D34</f>
        <v>175.75757575757575</v>
      </c>
      <c r="E60" s="2">
        <f t="shared" si="5"/>
        <v>171.42857142857142</v>
      </c>
      <c r="F60" s="2">
        <f t="shared" si="5"/>
        <v>178.57142857142858</v>
      </c>
      <c r="G60" s="2">
        <f t="shared" si="5"/>
        <v>200</v>
      </c>
      <c r="I60" s="2">
        <f>1/I$39*I34</f>
        <v>201.66666666666669</v>
      </c>
      <c r="K60" s="2">
        <f t="shared" si="2"/>
        <v>69.444444444444443</v>
      </c>
      <c r="L60" s="2">
        <f t="shared" si="3"/>
        <v>181.43939393939394</v>
      </c>
    </row>
    <row r="61" spans="1:12">
      <c r="A61" s="2" t="s">
        <v>30</v>
      </c>
      <c r="B61" s="2">
        <f t="shared" si="4"/>
        <v>207.88043478260869</v>
      </c>
      <c r="C61" s="2">
        <f t="shared" si="4"/>
        <v>230.20833333333331</v>
      </c>
      <c r="D61" s="2">
        <f t="shared" si="5"/>
        <v>127.27272727272728</v>
      </c>
      <c r="E61" s="2">
        <f t="shared" si="5"/>
        <v>171.42857142857142</v>
      </c>
      <c r="F61" s="2">
        <f t="shared" si="5"/>
        <v>178.57142857142858</v>
      </c>
      <c r="G61" s="2">
        <f t="shared" si="5"/>
        <v>191.57894736842104</v>
      </c>
      <c r="I61" s="2">
        <f>1/I$39*I35</f>
        <v>208.33333333333334</v>
      </c>
      <c r="K61" s="2">
        <f t="shared" si="2"/>
        <v>69.444444444444443</v>
      </c>
      <c r="L61" s="2">
        <f t="shared" si="3"/>
        <v>167.21291866028707</v>
      </c>
    </row>
    <row r="62" spans="1:12">
      <c r="A62" s="2">
        <v>11</v>
      </c>
      <c r="B62" s="2">
        <f t="shared" si="4"/>
        <v>199.72826086956522</v>
      </c>
      <c r="C62" s="2">
        <f t="shared" si="4"/>
        <v>218.45833333333331</v>
      </c>
      <c r="D62" s="2">
        <f t="shared" si="5"/>
        <v>136.36363636363637</v>
      </c>
      <c r="E62" s="2">
        <f t="shared" si="5"/>
        <v>182.85714285714283</v>
      </c>
      <c r="F62" s="2">
        <f t="shared" si="5"/>
        <v>192.85714285714286</v>
      </c>
      <c r="G62" s="2">
        <f t="shared" si="5"/>
        <v>223.15789473684208</v>
      </c>
      <c r="I62" s="2">
        <f>1/I$39*I36</f>
        <v>225</v>
      </c>
      <c r="K62" s="2">
        <f t="shared" si="2"/>
        <v>69.444444444444443</v>
      </c>
      <c r="L62" s="2">
        <f t="shared" si="3"/>
        <v>183.80895420369103</v>
      </c>
    </row>
    <row r="63" spans="1:12">
      <c r="A63" s="2">
        <v>21</v>
      </c>
      <c r="B63" s="2">
        <f t="shared" si="4"/>
        <v>239.13043478260869</v>
      </c>
      <c r="C63" s="2">
        <f t="shared" si="4"/>
        <v>254.95833333333331</v>
      </c>
      <c r="D63" s="2">
        <f t="shared" si="5"/>
        <v>218.18181818181819</v>
      </c>
      <c r="E63" s="2">
        <f t="shared" si="5"/>
        <v>211.42857142857142</v>
      </c>
      <c r="F63" s="2">
        <f t="shared" si="5"/>
        <v>200</v>
      </c>
      <c r="G63" s="2">
        <f t="shared" si="5"/>
        <v>236.84210526315789</v>
      </c>
      <c r="I63" s="2">
        <f>1/I$39*I37</f>
        <v>233.33333333333334</v>
      </c>
      <c r="K63" s="2">
        <f t="shared" si="2"/>
        <v>69.444444444444443</v>
      </c>
      <c r="L63" s="2">
        <f t="shared" si="3"/>
        <v>216.61312371838687</v>
      </c>
    </row>
    <row r="64" spans="1:12">
      <c r="A64" s="2" t="s">
        <v>29</v>
      </c>
      <c r="B64" s="2">
        <f t="shared" si="4"/>
        <v>288.04347826086956</v>
      </c>
      <c r="C64" s="2">
        <f t="shared" si="4"/>
        <v>292.125</v>
      </c>
      <c r="D64" s="2">
        <f t="shared" si="5"/>
        <v>251.51515151515153</v>
      </c>
      <c r="E64" s="2">
        <f t="shared" si="5"/>
        <v>268.57142857142856</v>
      </c>
      <c r="F64" s="2">
        <f t="shared" si="5"/>
        <v>264.28571428571428</v>
      </c>
      <c r="G64" s="2">
        <f t="shared" si="5"/>
        <v>254.73684210526315</v>
      </c>
      <c r="I64" s="2">
        <f>1/I$39*I38</f>
        <v>233.33333333333334</v>
      </c>
      <c r="K64" s="2">
        <f t="shared" si="2"/>
        <v>69.444444444444443</v>
      </c>
      <c r="L64" s="2">
        <f t="shared" si="3"/>
        <v>259.77728411938938</v>
      </c>
    </row>
    <row r="65" spans="1:10">
      <c r="A65" s="2">
        <v>11</v>
      </c>
      <c r="B65" s="2">
        <v>184</v>
      </c>
      <c r="C65" s="2">
        <v>24</v>
      </c>
      <c r="D65" s="2">
        <v>1.65</v>
      </c>
      <c r="E65" s="2">
        <v>1.75</v>
      </c>
      <c r="F65" s="2">
        <v>1.4</v>
      </c>
      <c r="G65" s="2">
        <v>0.95</v>
      </c>
      <c r="I65" s="2">
        <v>0.6</v>
      </c>
      <c r="J65" s="2">
        <v>1.3</v>
      </c>
    </row>
    <row r="84" spans="13:13">
      <c r="M84" s="2" t="s">
        <v>101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2"/>
  <sheetViews>
    <sheetView zoomScaleSheetLayoutView="1" workbookViewId="0"/>
  </sheetViews>
  <sheetFormatPr defaultRowHeight="12.75"/>
  <cols>
    <col min="1" max="12" width="9.140625" style="2"/>
    <col min="13" max="16384" width="9.140625" style="1"/>
  </cols>
  <sheetData>
    <row r="1" spans="1:12">
      <c r="A1" s="2" t="s">
        <v>100</v>
      </c>
    </row>
    <row r="3" spans="1:12">
      <c r="B3" s="2" t="s">
        <v>94</v>
      </c>
      <c r="D3" s="2" t="s">
        <v>93</v>
      </c>
      <c r="G3" s="2" t="s">
        <v>99</v>
      </c>
      <c r="H3" s="2" t="s">
        <v>53</v>
      </c>
      <c r="J3" s="2" t="s">
        <v>98</v>
      </c>
      <c r="L3" s="2" t="s">
        <v>97</v>
      </c>
    </row>
    <row r="4" spans="1:12">
      <c r="B4" s="2" t="s">
        <v>90</v>
      </c>
      <c r="C4" s="2" t="s">
        <v>95</v>
      </c>
      <c r="D4" s="2" t="s">
        <v>96</v>
      </c>
      <c r="E4" s="2" t="s">
        <v>95</v>
      </c>
      <c r="F4" s="2" t="s">
        <v>90</v>
      </c>
      <c r="G4" s="2" t="s">
        <v>90</v>
      </c>
      <c r="H4" s="2" t="s">
        <v>94</v>
      </c>
      <c r="I4" s="2" t="s">
        <v>93</v>
      </c>
    </row>
    <row r="7" spans="1:12">
      <c r="A7" s="2">
        <v>6</v>
      </c>
      <c r="B7" s="2">
        <v>2.0964520000000002</v>
      </c>
      <c r="C7" s="2">
        <v>0.60017600000000004</v>
      </c>
      <c r="G7" s="2">
        <f t="shared" ref="G7:G32" si="0">B7+D7-E7</f>
        <v>2.0964520000000002</v>
      </c>
      <c r="H7" s="4">
        <f t="shared" ref="H7:H22" si="1">B7/(B7+C7)</f>
        <v>0.77743463317891826</v>
      </c>
      <c r="I7" s="4" t="e">
        <f t="shared" ref="I7:I32" si="2">(D7-E7)/D7</f>
        <v>#DIV/0!</v>
      </c>
      <c r="J7" s="6">
        <v>0.85</v>
      </c>
      <c r="L7" s="2">
        <f>5.4008+0.083</f>
        <v>5.4838000000000005</v>
      </c>
    </row>
    <row r="8" spans="1:12">
      <c r="A8" s="2">
        <v>7</v>
      </c>
      <c r="B8" s="2">
        <v>0.75610200000000005</v>
      </c>
      <c r="C8" s="2">
        <v>0.18507399999999999</v>
      </c>
      <c r="D8" s="2">
        <v>4.0206200000000001</v>
      </c>
      <c r="E8" s="2">
        <v>0.57611999999999997</v>
      </c>
      <c r="F8" s="2">
        <f t="shared" ref="F8:F32" si="3">D8-E8</f>
        <v>3.4445000000000001</v>
      </c>
      <c r="G8" s="2">
        <f t="shared" si="0"/>
        <v>4.2006019999999999</v>
      </c>
      <c r="H8" s="4">
        <f t="shared" si="1"/>
        <v>0.80335877667938838</v>
      </c>
      <c r="I8" s="4">
        <f t="shared" si="2"/>
        <v>0.85670866682252989</v>
      </c>
      <c r="J8" s="6">
        <v>0.87</v>
      </c>
      <c r="L8" s="2">
        <f>4.876+0.132</f>
        <v>5.008</v>
      </c>
    </row>
    <row r="9" spans="1:12">
      <c r="A9" s="2">
        <v>8</v>
      </c>
      <c r="B9" s="2">
        <v>4.1235720000000002</v>
      </c>
      <c r="C9" s="2">
        <v>1.3793960000000001</v>
      </c>
      <c r="D9" s="2">
        <v>6.2441760000000004</v>
      </c>
      <c r="E9" s="2">
        <v>1.2811760000000001</v>
      </c>
      <c r="F9" s="2">
        <f t="shared" si="3"/>
        <v>4.9630000000000001</v>
      </c>
      <c r="G9" s="2">
        <f t="shared" si="0"/>
        <v>9.0865720000000003</v>
      </c>
      <c r="H9" s="4">
        <f t="shared" si="1"/>
        <v>0.74933599468504997</v>
      </c>
      <c r="I9" s="4">
        <f t="shared" si="2"/>
        <v>0.79482064567046151</v>
      </c>
      <c r="J9" s="6">
        <v>0.79</v>
      </c>
      <c r="L9" s="2">
        <f>5.214+0.008</f>
        <v>5.2220000000000004</v>
      </c>
    </row>
    <row r="10" spans="1:12">
      <c r="A10" s="2">
        <v>9</v>
      </c>
      <c r="D10" s="2">
        <v>11.955498</v>
      </c>
      <c r="E10" s="2">
        <v>2.2639969999999998</v>
      </c>
      <c r="F10" s="2">
        <f t="shared" si="3"/>
        <v>9.6915010000000006</v>
      </c>
      <c r="G10" s="2">
        <f t="shared" si="0"/>
        <v>9.6915010000000006</v>
      </c>
      <c r="H10" s="4" t="e">
        <f t="shared" si="1"/>
        <v>#DIV/0!</v>
      </c>
      <c r="I10" s="4">
        <f t="shared" si="2"/>
        <v>0.81063130954478013</v>
      </c>
      <c r="J10" s="6">
        <v>0.82</v>
      </c>
      <c r="L10" s="2">
        <v>4.7759999999999998</v>
      </c>
    </row>
    <row r="11" spans="1:12">
      <c r="A11" s="2">
        <v>10</v>
      </c>
      <c r="B11" s="2">
        <v>4.3377230000000004</v>
      </c>
      <c r="C11" s="2">
        <v>1.0629660000000001</v>
      </c>
      <c r="D11" s="2">
        <v>6.0511489999999997</v>
      </c>
      <c r="E11" s="2">
        <v>1.030249</v>
      </c>
      <c r="F11" s="2">
        <f t="shared" si="3"/>
        <v>5.0208999999999993</v>
      </c>
      <c r="G11" s="2">
        <f t="shared" si="0"/>
        <v>9.3586229999999997</v>
      </c>
      <c r="H11" s="4">
        <f t="shared" si="1"/>
        <v>0.80317955727500689</v>
      </c>
      <c r="I11" s="4">
        <f t="shared" si="2"/>
        <v>0.82974324380377995</v>
      </c>
      <c r="J11" s="6">
        <v>0.84</v>
      </c>
      <c r="L11" s="2">
        <v>5.1879999999999997</v>
      </c>
    </row>
    <row r="12" spans="1:12">
      <c r="A12" s="2">
        <v>11</v>
      </c>
      <c r="D12" s="2">
        <v>4.5520019999999999</v>
      </c>
      <c r="E12" s="2">
        <v>0.89510199999999995</v>
      </c>
      <c r="F12" s="2">
        <f t="shared" si="3"/>
        <v>3.6568999999999998</v>
      </c>
      <c r="G12" s="2">
        <f t="shared" si="0"/>
        <v>3.6568999999999998</v>
      </c>
      <c r="H12" s="4" t="e">
        <f t="shared" si="1"/>
        <v>#DIV/0!</v>
      </c>
      <c r="I12" s="4">
        <f t="shared" si="2"/>
        <v>0.80336080695922363</v>
      </c>
      <c r="J12" s="6">
        <v>0.82</v>
      </c>
      <c r="L12" s="2">
        <v>2.8719999999999999</v>
      </c>
    </row>
    <row r="13" spans="1:12">
      <c r="A13" s="2">
        <v>12</v>
      </c>
      <c r="D13" s="2">
        <v>2.0138500000000001</v>
      </c>
      <c r="E13" s="2">
        <v>0.50895000000000001</v>
      </c>
      <c r="F13" s="2">
        <f t="shared" si="3"/>
        <v>1.5049000000000001</v>
      </c>
      <c r="G13" s="2">
        <f t="shared" si="0"/>
        <v>1.5049000000000001</v>
      </c>
      <c r="H13" s="4" t="e">
        <f t="shared" si="1"/>
        <v>#DIV/0!</v>
      </c>
      <c r="I13" s="4">
        <f t="shared" si="2"/>
        <v>0.74727511979541672</v>
      </c>
      <c r="J13" s="6">
        <v>0.77</v>
      </c>
      <c r="L13" s="2">
        <v>6.7519999999999998</v>
      </c>
    </row>
    <row r="14" spans="1:12">
      <c r="A14" s="2">
        <v>1792</v>
      </c>
      <c r="B14" s="2">
        <v>2.0282580000000001</v>
      </c>
      <c r="C14" s="2">
        <v>1.352131</v>
      </c>
      <c r="D14" s="2">
        <v>9.1977279999999997</v>
      </c>
      <c r="E14" s="2">
        <v>2.9572280000000002</v>
      </c>
      <c r="F14" s="2">
        <f t="shared" si="3"/>
        <v>6.240499999999999</v>
      </c>
      <c r="G14" s="2">
        <f t="shared" si="0"/>
        <v>8.2687579999999983</v>
      </c>
      <c r="H14" s="4">
        <f t="shared" si="1"/>
        <v>0.60000727726897707</v>
      </c>
      <c r="I14" s="4">
        <f t="shared" si="2"/>
        <v>0.6784827731370181</v>
      </c>
      <c r="J14" s="6">
        <v>0.72</v>
      </c>
      <c r="L14" s="2">
        <v>7.117</v>
      </c>
    </row>
    <row r="15" spans="1:12">
      <c r="A15" s="2">
        <v>2</v>
      </c>
      <c r="D15" s="2">
        <v>1.7248129999999999</v>
      </c>
      <c r="E15" s="2">
        <v>0.69501299999999999</v>
      </c>
      <c r="F15" s="2">
        <f t="shared" si="3"/>
        <v>1.0297999999999998</v>
      </c>
      <c r="G15" s="2">
        <f t="shared" si="0"/>
        <v>1.0297999999999998</v>
      </c>
      <c r="H15" s="4" t="e">
        <f t="shared" si="1"/>
        <v>#DIV/0!</v>
      </c>
      <c r="I15" s="4">
        <f t="shared" si="2"/>
        <v>0.5970502309525727</v>
      </c>
      <c r="J15" s="6">
        <v>0.61</v>
      </c>
      <c r="L15" s="2">
        <v>5.2510000000000003</v>
      </c>
    </row>
    <row r="16" spans="1:12">
      <c r="A16" s="2">
        <v>3</v>
      </c>
      <c r="D16" s="2">
        <v>7.2645970000000002</v>
      </c>
      <c r="E16" s="2">
        <v>3.0926979999999999</v>
      </c>
      <c r="F16" s="2">
        <f t="shared" si="3"/>
        <v>4.1718989999999998</v>
      </c>
      <c r="G16" s="2">
        <f t="shared" si="0"/>
        <v>4.1718989999999998</v>
      </c>
      <c r="H16" s="4" t="e">
        <f t="shared" si="1"/>
        <v>#DIV/0!</v>
      </c>
      <c r="I16" s="4">
        <f t="shared" si="2"/>
        <v>0.57427810517224831</v>
      </c>
      <c r="J16" s="6">
        <v>0.59</v>
      </c>
      <c r="L16" s="2">
        <v>10.193</v>
      </c>
    </row>
    <row r="17" spans="1:12">
      <c r="A17" s="2">
        <v>4</v>
      </c>
      <c r="D17" s="2">
        <v>1.8433999999999999E-2</v>
      </c>
      <c r="E17" s="2">
        <v>5.9579999999999998E-3</v>
      </c>
      <c r="F17" s="2">
        <f t="shared" si="3"/>
        <v>1.2475999999999999E-2</v>
      </c>
      <c r="G17" s="2">
        <f t="shared" si="0"/>
        <v>1.2475999999999999E-2</v>
      </c>
      <c r="H17" s="4" t="e">
        <f t="shared" si="1"/>
        <v>#DIV/0!</v>
      </c>
      <c r="I17" s="4">
        <f t="shared" si="2"/>
        <v>0.67679288271671911</v>
      </c>
      <c r="J17" s="6">
        <v>0.68</v>
      </c>
      <c r="L17" s="2">
        <f>7.791+0.84</f>
        <v>8.6310000000000002</v>
      </c>
    </row>
    <row r="18" spans="1:12">
      <c r="A18" s="2">
        <v>5</v>
      </c>
      <c r="B18" s="2">
        <v>38.190779999999997</v>
      </c>
      <c r="C18" s="2">
        <v>31.682753999999999</v>
      </c>
      <c r="D18" s="2">
        <v>9.7916080000000001</v>
      </c>
      <c r="E18" s="2">
        <v>3.8750629999999999</v>
      </c>
      <c r="F18" s="2">
        <f t="shared" si="3"/>
        <v>5.9165450000000002</v>
      </c>
      <c r="G18" s="2">
        <f t="shared" si="0"/>
        <v>44.107325000000003</v>
      </c>
      <c r="H18" s="4">
        <f t="shared" si="1"/>
        <v>0.54657003608834209</v>
      </c>
      <c r="I18" s="4">
        <f t="shared" si="2"/>
        <v>0.60424651395358153</v>
      </c>
      <c r="J18" s="6">
        <v>0.57999999999999996</v>
      </c>
      <c r="L18" s="2">
        <f>6.984+0.037</f>
        <v>7.0209999999999999</v>
      </c>
    </row>
    <row r="19" spans="1:12">
      <c r="A19" s="2">
        <v>6</v>
      </c>
      <c r="D19" s="2">
        <v>5.8927079999999998</v>
      </c>
      <c r="E19" s="2">
        <v>2.3359079999999999</v>
      </c>
      <c r="F19" s="2">
        <f t="shared" si="3"/>
        <v>3.5568</v>
      </c>
      <c r="G19" s="2">
        <f t="shared" si="0"/>
        <v>3.5568</v>
      </c>
      <c r="H19" s="4" t="e">
        <f t="shared" si="1"/>
        <v>#DIV/0!</v>
      </c>
      <c r="I19" s="4">
        <f t="shared" si="2"/>
        <v>0.60359345821988808</v>
      </c>
      <c r="J19" s="6">
        <v>0.56999999999999995</v>
      </c>
      <c r="L19" s="2">
        <f>5.797+0.006</f>
        <v>5.8029999999999999</v>
      </c>
    </row>
    <row r="20" spans="1:12">
      <c r="A20" s="2">
        <v>7</v>
      </c>
      <c r="D20" s="2">
        <v>16.085248</v>
      </c>
      <c r="E20" s="2">
        <v>6.1804769999999998</v>
      </c>
      <c r="F20" s="2">
        <f t="shared" si="3"/>
        <v>9.9047710000000002</v>
      </c>
      <c r="G20" s="2">
        <f t="shared" si="0"/>
        <v>9.9047710000000002</v>
      </c>
      <c r="H20" s="4" t="e">
        <f t="shared" si="1"/>
        <v>#DIV/0!</v>
      </c>
      <c r="I20" s="4">
        <f t="shared" si="2"/>
        <v>0.61576737890519317</v>
      </c>
      <c r="J20" s="6">
        <v>0.61</v>
      </c>
      <c r="L20" s="2">
        <f>14.406+1.882</f>
        <v>16.288</v>
      </c>
    </row>
    <row r="21" spans="1:12">
      <c r="A21" s="2">
        <v>8</v>
      </c>
      <c r="B21" s="2">
        <v>4.0270510000000002</v>
      </c>
      <c r="C21" s="2">
        <v>3.1337280000000001</v>
      </c>
      <c r="D21" s="2">
        <v>8.5952669999999998</v>
      </c>
      <c r="E21" s="2">
        <v>2.496283</v>
      </c>
      <c r="F21" s="2">
        <f t="shared" si="3"/>
        <v>6.0989839999999997</v>
      </c>
      <c r="G21" s="2">
        <f t="shared" si="0"/>
        <v>10.126035</v>
      </c>
      <c r="H21" s="4">
        <f t="shared" si="1"/>
        <v>0.56237610461096488</v>
      </c>
      <c r="I21" s="4">
        <f t="shared" si="2"/>
        <v>0.70957469965738118</v>
      </c>
      <c r="J21" s="6">
        <v>0.61</v>
      </c>
      <c r="L21" s="2">
        <f>11.778+0.765</f>
        <v>12.543000000000001</v>
      </c>
    </row>
    <row r="22" spans="1:12">
      <c r="A22" s="2">
        <v>9</v>
      </c>
      <c r="D22" s="2">
        <v>2.6774179999999999</v>
      </c>
      <c r="E22" s="2">
        <v>0.53118500000000002</v>
      </c>
      <c r="F22" s="2">
        <f t="shared" si="3"/>
        <v>2.1462329999999996</v>
      </c>
      <c r="G22" s="2">
        <f t="shared" si="0"/>
        <v>2.1462329999999996</v>
      </c>
      <c r="H22" s="4" t="e">
        <f t="shared" si="1"/>
        <v>#DIV/0!</v>
      </c>
      <c r="I22" s="4">
        <f t="shared" si="2"/>
        <v>0.8016055020172419</v>
      </c>
      <c r="J22" s="6">
        <v>0.72</v>
      </c>
      <c r="L22" s="2">
        <f>10.495+0.995</f>
        <v>11.489999999999998</v>
      </c>
    </row>
    <row r="23" spans="1:12">
      <c r="A23" s="2">
        <v>10</v>
      </c>
      <c r="B23" s="2">
        <v>1.5556479999999999</v>
      </c>
      <c r="D23" s="2">
        <v>9.7636219999999998</v>
      </c>
      <c r="E23" s="2">
        <v>2.8674490000000001</v>
      </c>
      <c r="F23" s="2">
        <f t="shared" si="3"/>
        <v>6.8961729999999992</v>
      </c>
      <c r="G23" s="2">
        <f t="shared" si="0"/>
        <v>8.4518209999999989</v>
      </c>
      <c r="H23" s="4" t="e">
        <v>#NUM!</v>
      </c>
      <c r="I23" s="4">
        <f t="shared" si="2"/>
        <v>0.70631298507869311</v>
      </c>
      <c r="J23" s="6">
        <v>0.71</v>
      </c>
      <c r="L23" s="2">
        <f>8.96+0.195</f>
        <v>9.1550000000000011</v>
      </c>
    </row>
    <row r="24" spans="1:12">
      <c r="A24" s="2">
        <v>11</v>
      </c>
      <c r="D24" s="2">
        <v>14.05071</v>
      </c>
      <c r="E24" s="2">
        <v>3.959355</v>
      </c>
      <c r="F24" s="2">
        <f t="shared" si="3"/>
        <v>10.091355</v>
      </c>
      <c r="G24" s="2">
        <f t="shared" si="0"/>
        <v>10.091355</v>
      </c>
      <c r="H24" s="4" t="e">
        <f>B24/(B24+C24)</f>
        <v>#DIV/0!</v>
      </c>
      <c r="I24" s="4">
        <f t="shared" si="2"/>
        <v>0.71820961360671454</v>
      </c>
      <c r="J24" s="6">
        <v>0.73</v>
      </c>
      <c r="L24" s="2">
        <f>14.895+5.291</f>
        <v>20.186</v>
      </c>
    </row>
    <row r="25" spans="1:12">
      <c r="A25" s="2">
        <v>12</v>
      </c>
      <c r="B25" s="2">
        <v>37.447705999999997</v>
      </c>
      <c r="C25" s="2">
        <v>22.035672000000002</v>
      </c>
      <c r="D25" s="2">
        <v>12.179433</v>
      </c>
      <c r="E25" s="2">
        <v>3.9242240000000002</v>
      </c>
      <c r="F25" s="2">
        <f t="shared" si="3"/>
        <v>8.2552089999999989</v>
      </c>
      <c r="G25" s="2">
        <f t="shared" si="0"/>
        <v>45.702914999999997</v>
      </c>
      <c r="H25" s="4">
        <f>B25/(B25+C25)</f>
        <v>0.62954908176196711</v>
      </c>
      <c r="I25" s="4">
        <f t="shared" si="2"/>
        <v>0.67779912250430696</v>
      </c>
      <c r="J25" s="6">
        <v>0.72</v>
      </c>
      <c r="L25" s="2">
        <f>10.553+9.835</f>
        <v>20.388000000000002</v>
      </c>
    </row>
    <row r="26" spans="1:12">
      <c r="A26" s="2">
        <v>1793</v>
      </c>
      <c r="D26" s="2">
        <v>28.844767999999998</v>
      </c>
      <c r="E26" s="2">
        <v>11.961721000000001</v>
      </c>
      <c r="F26" s="2">
        <f t="shared" si="3"/>
        <v>16.883046999999998</v>
      </c>
      <c r="G26" s="2">
        <f t="shared" si="0"/>
        <v>16.883046999999998</v>
      </c>
      <c r="I26" s="4">
        <f t="shared" si="2"/>
        <v>0.58530708237972306</v>
      </c>
      <c r="J26" s="6">
        <v>0.51</v>
      </c>
      <c r="L26" s="2">
        <f>12.237+5.068</f>
        <v>17.305</v>
      </c>
    </row>
    <row r="27" spans="1:12">
      <c r="A27" s="2">
        <v>2</v>
      </c>
      <c r="D27" s="2">
        <v>30.713968999999999</v>
      </c>
      <c r="E27" s="2">
        <v>13.716123</v>
      </c>
      <c r="F27" s="2">
        <f t="shared" si="3"/>
        <v>16.997845999999999</v>
      </c>
      <c r="G27" s="2">
        <f t="shared" si="0"/>
        <v>16.997845999999999</v>
      </c>
      <c r="I27" s="4">
        <f t="shared" si="2"/>
        <v>0.55342394856229749</v>
      </c>
      <c r="J27" s="6">
        <v>0.52</v>
      </c>
      <c r="L27" s="2">
        <f>18.331+0.722</f>
        <v>19.053000000000001</v>
      </c>
    </row>
    <row r="28" spans="1:12">
      <c r="A28" s="2">
        <v>3</v>
      </c>
      <c r="D28" s="2">
        <v>48.318736000000001</v>
      </c>
      <c r="E28" s="2">
        <v>22.356332999999999</v>
      </c>
      <c r="F28" s="2">
        <f t="shared" si="3"/>
        <v>25.962403000000002</v>
      </c>
      <c r="G28" s="2">
        <f t="shared" si="0"/>
        <v>25.962403000000002</v>
      </c>
      <c r="I28" s="4">
        <f t="shared" si="2"/>
        <v>0.53731544219203087</v>
      </c>
      <c r="J28" s="6">
        <v>0.51</v>
      </c>
      <c r="L28" s="2">
        <f>6.306+1.574</f>
        <v>7.88</v>
      </c>
    </row>
    <row r="29" spans="1:12">
      <c r="A29" s="2">
        <v>4</v>
      </c>
      <c r="D29" s="2">
        <v>2.8850820000000001</v>
      </c>
      <c r="E29" s="2">
        <v>1.3857390000000001</v>
      </c>
      <c r="F29" s="2">
        <f t="shared" si="3"/>
        <v>1.4993430000000001</v>
      </c>
      <c r="G29" s="2">
        <f t="shared" si="0"/>
        <v>1.4993430000000001</v>
      </c>
      <c r="I29" s="4">
        <f t="shared" si="2"/>
        <v>0.51968817524077304</v>
      </c>
      <c r="J29" s="6">
        <v>0.43</v>
      </c>
      <c r="L29" s="2">
        <f>1.371+0.05</f>
        <v>1.421</v>
      </c>
    </row>
    <row r="30" spans="1:12">
      <c r="A30" s="2">
        <v>5</v>
      </c>
      <c r="D30" s="2">
        <v>0.55912600000000001</v>
      </c>
      <c r="E30" s="2">
        <v>0.259127</v>
      </c>
      <c r="F30" s="2">
        <f t="shared" si="3"/>
        <v>0.29999900000000002</v>
      </c>
      <c r="G30" s="2">
        <f t="shared" si="0"/>
        <v>0.29999900000000002</v>
      </c>
      <c r="I30" s="4">
        <f t="shared" si="2"/>
        <v>0.5365499010956386</v>
      </c>
      <c r="J30" s="6">
        <v>0.52</v>
      </c>
      <c r="L30" s="2">
        <f>0.486+0.098</f>
        <v>0.58399999999999996</v>
      </c>
    </row>
    <row r="31" spans="1:12">
      <c r="A31" s="2">
        <v>6</v>
      </c>
      <c r="D31" s="2">
        <v>8.0718999999999999E-2</v>
      </c>
      <c r="E31" s="2">
        <v>4.2719E-2</v>
      </c>
      <c r="F31" s="2">
        <f t="shared" si="3"/>
        <v>3.7999999999999999E-2</v>
      </c>
      <c r="G31" s="2">
        <f t="shared" si="0"/>
        <v>3.7999999999999999E-2</v>
      </c>
      <c r="I31" s="4">
        <f t="shared" si="2"/>
        <v>0.4707689639366196</v>
      </c>
      <c r="J31" s="6">
        <v>0.36</v>
      </c>
      <c r="L31" s="2">
        <f>0.029+0.066</f>
        <v>9.5000000000000001E-2</v>
      </c>
    </row>
    <row r="32" spans="1:12">
      <c r="A32" s="2">
        <v>7</v>
      </c>
      <c r="D32" s="2">
        <v>3.7299999999999998E-3</v>
      </c>
      <c r="E32" s="2">
        <v>2E-3</v>
      </c>
      <c r="F32" s="2">
        <f t="shared" si="3"/>
        <v>1.7299999999999998E-3</v>
      </c>
      <c r="G32" s="2">
        <f t="shared" si="0"/>
        <v>1.7299999999999998E-3</v>
      </c>
      <c r="I32" s="4">
        <f t="shared" si="2"/>
        <v>0.46380697050938335</v>
      </c>
      <c r="J32" s="6">
        <v>0.23</v>
      </c>
      <c r="L32" s="2">
        <f>0.333+0.051</f>
        <v>0.38400000000000001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0"/>
  <sheetViews>
    <sheetView zoomScaleSheetLayoutView="1" workbookViewId="0"/>
  </sheetViews>
  <sheetFormatPr defaultRowHeight="12.75"/>
  <cols>
    <col min="1" max="7" width="9.140625" style="2"/>
    <col min="8" max="16384" width="9.140625" style="1"/>
  </cols>
  <sheetData>
    <row r="1" spans="1:7">
      <c r="A1" s="2" t="s">
        <v>92</v>
      </c>
    </row>
    <row r="2" spans="1:7">
      <c r="A2" s="2" t="s">
        <v>91</v>
      </c>
    </row>
    <row r="3" spans="1:7">
      <c r="B3" s="2" t="s">
        <v>90</v>
      </c>
      <c r="C3" s="2" t="s">
        <v>89</v>
      </c>
      <c r="D3" s="2" t="s">
        <v>88</v>
      </c>
      <c r="E3" s="2" t="s">
        <v>87</v>
      </c>
      <c r="F3" s="2" t="s">
        <v>86</v>
      </c>
    </row>
    <row r="5" spans="1:7">
      <c r="A5" s="2">
        <f t="shared" ref="A5:A16" si="0">A6-1</f>
        <v>1785</v>
      </c>
      <c r="B5" s="2">
        <v>1497528</v>
      </c>
      <c r="C5" s="2">
        <v>59228589</v>
      </c>
      <c r="D5" s="2">
        <v>479520</v>
      </c>
      <c r="E5" s="2">
        <f>C5+B5</f>
        <v>60726117</v>
      </c>
      <c r="F5" s="2">
        <f>E5+D5</f>
        <v>61205637</v>
      </c>
      <c r="G5" s="2" t="s">
        <v>85</v>
      </c>
    </row>
    <row r="6" spans="1:7">
      <c r="A6" s="2">
        <f t="shared" si="0"/>
        <v>1786</v>
      </c>
      <c r="B6" s="2">
        <v>560275344</v>
      </c>
      <c r="C6" s="2">
        <v>45340146</v>
      </c>
      <c r="D6" s="2">
        <v>162578</v>
      </c>
      <c r="E6" s="2">
        <v>605615490</v>
      </c>
      <c r="F6" s="2">
        <v>605778068</v>
      </c>
    </row>
    <row r="7" spans="1:7">
      <c r="A7" s="2">
        <f t="shared" si="0"/>
        <v>1787</v>
      </c>
      <c r="B7" s="2">
        <v>103077792</v>
      </c>
      <c r="C7" s="2">
        <v>23314843</v>
      </c>
      <c r="D7" s="2">
        <v>188252</v>
      </c>
      <c r="E7" s="2">
        <v>126392635</v>
      </c>
      <c r="F7" s="2">
        <v>126580887</v>
      </c>
    </row>
    <row r="8" spans="1:7">
      <c r="A8" s="2">
        <f t="shared" si="0"/>
        <v>1788</v>
      </c>
      <c r="B8" s="2">
        <v>45090432</v>
      </c>
      <c r="C8" s="2">
        <v>36203718</v>
      </c>
      <c r="D8" s="2">
        <v>161753</v>
      </c>
      <c r="E8" s="2">
        <v>81294150</v>
      </c>
      <c r="F8" s="2">
        <v>81455903</v>
      </c>
    </row>
    <row r="9" spans="1:7">
      <c r="A9" s="2">
        <f t="shared" si="0"/>
        <v>1789</v>
      </c>
      <c r="B9" s="2">
        <v>18780552</v>
      </c>
      <c r="C9" s="2">
        <v>48743028</v>
      </c>
      <c r="D9" s="2">
        <v>258833</v>
      </c>
      <c r="E9" s="2">
        <v>67523580</v>
      </c>
      <c r="F9" s="2">
        <v>67782413</v>
      </c>
    </row>
    <row r="10" spans="1:7">
      <c r="A10" s="2">
        <f t="shared" si="0"/>
        <v>1790</v>
      </c>
      <c r="B10" s="2">
        <f>11982130</f>
        <v>11982130</v>
      </c>
      <c r="C10" s="2">
        <f>26766235</f>
        <v>26766235</v>
      </c>
      <c r="E10" s="2">
        <f>C10+B10</f>
        <v>38748365</v>
      </c>
    </row>
    <row r="11" spans="1:7">
      <c r="A11" s="2">
        <f t="shared" si="0"/>
        <v>1791</v>
      </c>
      <c r="B11" s="2">
        <v>3499670</v>
      </c>
      <c r="C11" s="2">
        <v>33422440</v>
      </c>
      <c r="D11" s="2">
        <v>4149410</v>
      </c>
      <c r="E11" s="2">
        <v>36922110</v>
      </c>
      <c r="F11" s="2">
        <v>41071520</v>
      </c>
    </row>
    <row r="12" spans="1:7">
      <c r="A12" s="2">
        <f t="shared" si="0"/>
        <v>1792</v>
      </c>
      <c r="B12" s="2">
        <v>3652426</v>
      </c>
      <c r="C12" s="2">
        <f>33531204</f>
        <v>33531204</v>
      </c>
      <c r="D12" s="2">
        <v>15539624</v>
      </c>
      <c r="E12" s="2">
        <f>C12+B12</f>
        <v>37183630</v>
      </c>
    </row>
    <row r="13" spans="1:7">
      <c r="A13" s="2">
        <f t="shared" si="0"/>
        <v>1793</v>
      </c>
      <c r="D13" s="2">
        <v>4855394</v>
      </c>
    </row>
    <row r="14" spans="1:7">
      <c r="A14" s="2">
        <f t="shared" si="0"/>
        <v>1794</v>
      </c>
    </row>
    <row r="15" spans="1:7">
      <c r="A15" s="2">
        <f t="shared" si="0"/>
        <v>1795</v>
      </c>
    </row>
    <row r="16" spans="1:7">
      <c r="A16" s="2">
        <f t="shared" si="0"/>
        <v>1796</v>
      </c>
      <c r="B16" s="2">
        <v>0</v>
      </c>
      <c r="C16" s="2">
        <v>19200000</v>
      </c>
      <c r="D16" s="2">
        <v>19503367</v>
      </c>
      <c r="E16" s="2">
        <v>19200000</v>
      </c>
      <c r="F16" s="2">
        <v>38703367</v>
      </c>
      <c r="G16" s="2" t="s">
        <v>84</v>
      </c>
    </row>
    <row r="17" spans="1:6">
      <c r="A17" s="2">
        <v>1797</v>
      </c>
      <c r="B17" s="2">
        <v>0</v>
      </c>
      <c r="C17" s="2">
        <v>21200000</v>
      </c>
      <c r="D17" s="2">
        <v>19503367</v>
      </c>
      <c r="E17" s="2">
        <v>21200000</v>
      </c>
      <c r="F17" s="2">
        <v>40703367</v>
      </c>
    </row>
    <row r="18" spans="1:6">
      <c r="A18" s="2">
        <v>1798</v>
      </c>
      <c r="B18" s="2">
        <v>0</v>
      </c>
      <c r="C18" s="2">
        <v>11898780</v>
      </c>
      <c r="D18" s="2">
        <v>2393651</v>
      </c>
      <c r="E18" s="2">
        <v>11898780</v>
      </c>
      <c r="F18" s="2">
        <v>14292431</v>
      </c>
    </row>
    <row r="19" spans="1:6">
      <c r="A19" s="2">
        <v>1799</v>
      </c>
      <c r="B19" s="2">
        <v>0</v>
      </c>
      <c r="C19" s="2">
        <v>18979705</v>
      </c>
      <c r="D19" s="2">
        <v>3293290</v>
      </c>
      <c r="E19" s="2">
        <v>18979705</v>
      </c>
      <c r="F19" s="2">
        <v>22272995</v>
      </c>
    </row>
    <row r="20" spans="1:6">
      <c r="A20" s="2">
        <v>1800</v>
      </c>
      <c r="B20" s="2">
        <v>0</v>
      </c>
      <c r="C20" s="2">
        <v>13619470</v>
      </c>
      <c r="D20" s="2">
        <v>4137939</v>
      </c>
      <c r="E20" s="2">
        <v>13619470</v>
      </c>
      <c r="F20" s="2">
        <v>17757409</v>
      </c>
    </row>
    <row r="21" spans="1:6">
      <c r="A21" s="2">
        <v>1801</v>
      </c>
      <c r="B21" s="2">
        <v>0</v>
      </c>
      <c r="C21" s="2">
        <v>3815995</v>
      </c>
      <c r="D21" s="2">
        <v>3749338</v>
      </c>
      <c r="E21" s="2">
        <v>3815995</v>
      </c>
      <c r="F21" s="2">
        <v>7565333</v>
      </c>
    </row>
    <row r="22" spans="1:6">
      <c r="A22" s="2">
        <v>1802</v>
      </c>
      <c r="B22" s="2">
        <v>0</v>
      </c>
      <c r="C22" s="2">
        <v>4842785</v>
      </c>
      <c r="D22" s="2">
        <v>0</v>
      </c>
      <c r="E22" s="2">
        <v>4842785</v>
      </c>
      <c r="F22" s="2">
        <v>4842785</v>
      </c>
    </row>
    <row r="23" spans="1:6">
      <c r="A23" s="2">
        <v>1803</v>
      </c>
      <c r="B23" s="2">
        <v>10209840</v>
      </c>
      <c r="C23" s="2">
        <v>34599003</v>
      </c>
      <c r="D23" s="2">
        <v>0</v>
      </c>
      <c r="E23" s="2">
        <v>44808843</v>
      </c>
      <c r="F23" s="2">
        <v>44808843</v>
      </c>
    </row>
    <row r="24" spans="1:6">
      <c r="A24" s="2">
        <v>1804</v>
      </c>
      <c r="B24" s="2">
        <v>38463980</v>
      </c>
      <c r="C24" s="2">
        <v>47514687</v>
      </c>
      <c r="D24" s="2">
        <v>0</v>
      </c>
      <c r="E24" s="2">
        <v>85978667</v>
      </c>
      <c r="F24" s="2">
        <v>85978667</v>
      </c>
    </row>
    <row r="25" spans="1:6">
      <c r="A25" s="2">
        <v>1805</v>
      </c>
      <c r="B25" s="2">
        <v>28402420</v>
      </c>
      <c r="C25" s="2">
        <v>57023901</v>
      </c>
      <c r="D25" s="2">
        <v>0</v>
      </c>
      <c r="E25" s="2">
        <v>85426321</v>
      </c>
      <c r="F25" s="2">
        <v>85426321</v>
      </c>
    </row>
    <row r="26" spans="1:6">
      <c r="A26" s="2">
        <v>1806</v>
      </c>
      <c r="B26" s="2">
        <v>30605840</v>
      </c>
      <c r="C26" s="2">
        <v>14603889</v>
      </c>
      <c r="D26" s="2">
        <v>0</v>
      </c>
      <c r="E26" s="2">
        <v>45209729</v>
      </c>
      <c r="F26" s="2">
        <v>45209729</v>
      </c>
    </row>
    <row r="27" spans="1:6">
      <c r="A27" s="2">
        <v>1807</v>
      </c>
      <c r="B27" s="2">
        <v>18019920</v>
      </c>
      <c r="C27" s="2">
        <v>5008949</v>
      </c>
      <c r="D27" s="2">
        <v>0</v>
      </c>
      <c r="E27" s="2">
        <v>23028869</v>
      </c>
      <c r="F27" s="2">
        <v>23028869</v>
      </c>
    </row>
    <row r="28" spans="1:6">
      <c r="A28" s="2">
        <v>1808</v>
      </c>
      <c r="B28" s="2">
        <v>32311260</v>
      </c>
      <c r="C28" s="2">
        <v>67833927</v>
      </c>
      <c r="D28" s="2">
        <v>1153757</v>
      </c>
      <c r="E28" s="2">
        <v>100145187</v>
      </c>
      <c r="F28" s="2">
        <v>101298944</v>
      </c>
    </row>
    <row r="29" spans="1:6">
      <c r="A29" s="2">
        <v>1809</v>
      </c>
      <c r="B29" s="2">
        <v>15206440</v>
      </c>
      <c r="C29" s="2">
        <v>44352192</v>
      </c>
      <c r="D29" s="2">
        <v>1607965</v>
      </c>
      <c r="E29" s="2">
        <v>59558632</v>
      </c>
      <c r="F29" s="2">
        <v>61166597</v>
      </c>
    </row>
    <row r="30" spans="1:6">
      <c r="A30" s="2">
        <v>1810</v>
      </c>
      <c r="B30" s="2">
        <v>46070600</v>
      </c>
      <c r="C30" s="2">
        <v>57138397</v>
      </c>
      <c r="D30" s="2">
        <v>520211</v>
      </c>
      <c r="E30" s="2">
        <v>103208997</v>
      </c>
      <c r="F30" s="2">
        <v>103729208</v>
      </c>
    </row>
    <row r="31" spans="1:6">
      <c r="A31" s="2">
        <v>1811</v>
      </c>
      <c r="B31" s="2">
        <v>132135740</v>
      </c>
      <c r="C31" s="2">
        <v>255900040</v>
      </c>
      <c r="D31" s="2">
        <v>0</v>
      </c>
      <c r="E31" s="2">
        <v>388035780</v>
      </c>
      <c r="F31" s="2">
        <v>388035780</v>
      </c>
    </row>
    <row r="32" spans="1:6">
      <c r="A32" s="2">
        <v>1812</v>
      </c>
      <c r="B32" s="2">
        <v>97723280</v>
      </c>
      <c r="C32" s="2">
        <v>160440110</v>
      </c>
      <c r="E32" s="2">
        <v>258163390</v>
      </c>
    </row>
    <row r="33" spans="1:5">
      <c r="A33" s="2">
        <v>1813</v>
      </c>
      <c r="B33" s="2">
        <v>62659680</v>
      </c>
      <c r="C33" s="2">
        <v>134554700</v>
      </c>
      <c r="E33" s="2">
        <v>197214380</v>
      </c>
    </row>
    <row r="34" spans="1:5">
      <c r="A34" s="2">
        <v>1814</v>
      </c>
      <c r="B34" s="2">
        <v>64544720</v>
      </c>
      <c r="C34" s="2">
        <v>17089121</v>
      </c>
      <c r="E34" s="2">
        <v>81633841</v>
      </c>
    </row>
    <row r="35" spans="1:5">
      <c r="A35" s="2">
        <v>1815</v>
      </c>
      <c r="B35" s="2">
        <v>72811460</v>
      </c>
      <c r="C35" s="2">
        <v>37673806</v>
      </c>
      <c r="E35" s="2">
        <v>110485266</v>
      </c>
    </row>
    <row r="36" spans="1:5">
      <c r="A36" s="2">
        <v>1816</v>
      </c>
      <c r="B36" s="2">
        <v>14151280</v>
      </c>
      <c r="C36" s="2">
        <v>34902703</v>
      </c>
      <c r="E36" s="2">
        <v>49053983</v>
      </c>
    </row>
    <row r="37" spans="1:5">
      <c r="A37" s="2">
        <v>1817</v>
      </c>
      <c r="B37" s="2">
        <v>52197080</v>
      </c>
      <c r="C37" s="2">
        <v>37090527</v>
      </c>
      <c r="E37" s="2">
        <v>89287607</v>
      </c>
    </row>
    <row r="38" spans="1:5">
      <c r="A38" s="2">
        <v>1818</v>
      </c>
      <c r="B38" s="2">
        <v>95410460</v>
      </c>
      <c r="C38" s="2">
        <v>12406076</v>
      </c>
      <c r="E38" s="2">
        <v>107816536</v>
      </c>
    </row>
    <row r="39" spans="1:5">
      <c r="A39" s="2">
        <v>1819</v>
      </c>
      <c r="B39" s="2">
        <v>52410660</v>
      </c>
      <c r="C39" s="2">
        <v>21239077</v>
      </c>
      <c r="E39" s="2">
        <v>73649737</v>
      </c>
    </row>
    <row r="40" spans="1:5">
      <c r="A40" s="2">
        <v>1820</v>
      </c>
      <c r="B40" s="2">
        <v>28781080</v>
      </c>
      <c r="C40" s="2">
        <v>18436121</v>
      </c>
      <c r="E40" s="2">
        <v>47217201</v>
      </c>
    </row>
    <row r="41" spans="1:5">
      <c r="A41" s="2">
        <v>1821</v>
      </c>
      <c r="B41" s="2">
        <v>404140</v>
      </c>
      <c r="C41" s="2">
        <v>67533866</v>
      </c>
      <c r="E41" s="2">
        <v>67938006</v>
      </c>
    </row>
    <row r="42" spans="1:5">
      <c r="A42" s="2">
        <v>1822</v>
      </c>
      <c r="B42" s="2">
        <v>4718100</v>
      </c>
      <c r="C42" s="2">
        <v>98916138</v>
      </c>
      <c r="E42" s="2">
        <v>103634238</v>
      </c>
    </row>
    <row r="43" spans="1:5">
      <c r="A43" s="2">
        <v>1823</v>
      </c>
      <c r="B43" s="2">
        <v>408180</v>
      </c>
      <c r="C43" s="2">
        <v>82916130</v>
      </c>
      <c r="E43" s="2">
        <v>83324310</v>
      </c>
    </row>
    <row r="44" spans="1:5">
      <c r="A44" s="2">
        <v>1824</v>
      </c>
      <c r="B44" s="2">
        <v>36148360</v>
      </c>
      <c r="C44" s="2">
        <v>158808313</v>
      </c>
      <c r="E44" s="2">
        <v>194956673</v>
      </c>
    </row>
    <row r="45" spans="1:5">
      <c r="A45" s="2">
        <v>1825</v>
      </c>
      <c r="B45" s="2">
        <v>14536100</v>
      </c>
      <c r="C45" s="2">
        <v>27870963</v>
      </c>
      <c r="E45" s="2">
        <v>42407063</v>
      </c>
    </row>
    <row r="46" spans="1:5">
      <c r="A46" s="2">
        <v>1826</v>
      </c>
      <c r="B46" s="2">
        <v>2929140</v>
      </c>
    </row>
    <row r="47" spans="1:5">
      <c r="A47" s="2">
        <v>1827</v>
      </c>
      <c r="B47" s="2">
        <v>3160940</v>
      </c>
    </row>
    <row r="48" spans="1:5">
      <c r="A48" s="2">
        <v>1828</v>
      </c>
      <c r="B48" s="2">
        <v>8025740</v>
      </c>
    </row>
    <row r="49" spans="1:2">
      <c r="A49" s="2">
        <v>1829</v>
      </c>
      <c r="B49" s="2">
        <v>1118180</v>
      </c>
    </row>
    <row r="50" spans="1:2">
      <c r="A50" s="2">
        <v>1830</v>
      </c>
      <c r="B50" s="2">
        <v>9353360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1"/>
  <sheetViews>
    <sheetView zoomScaleSheetLayoutView="1" workbookViewId="0">
      <selection activeCell="A6" sqref="A6"/>
    </sheetView>
  </sheetViews>
  <sheetFormatPr defaultRowHeight="12.75"/>
  <cols>
    <col min="1" max="26" width="9.140625" style="2"/>
    <col min="27" max="16384" width="9.140625" style="1"/>
  </cols>
  <sheetData>
    <row r="1" spans="1:26">
      <c r="B1" s="2" t="s">
        <v>63</v>
      </c>
      <c r="C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Q1" s="2" t="s">
        <v>55</v>
      </c>
      <c r="T1" s="2" t="s">
        <v>55</v>
      </c>
    </row>
    <row r="2" spans="1:26">
      <c r="C2" s="2" t="s">
        <v>51</v>
      </c>
      <c r="D2" s="2" t="s">
        <v>53</v>
      </c>
      <c r="E2" s="2" t="s">
        <v>54</v>
      </c>
      <c r="F2" s="2" t="s">
        <v>53</v>
      </c>
      <c r="G2" s="2" t="s">
        <v>52</v>
      </c>
      <c r="I2" s="2" t="s">
        <v>51</v>
      </c>
      <c r="J2" s="2" t="s">
        <v>50</v>
      </c>
      <c r="N2" s="2" t="s">
        <v>49</v>
      </c>
      <c r="Q2" s="2" t="s">
        <v>48</v>
      </c>
    </row>
    <row r="3" spans="1:26">
      <c r="A3" s="2" t="s">
        <v>45</v>
      </c>
      <c r="N3" s="2" t="s">
        <v>47</v>
      </c>
      <c r="T3" s="2" t="s">
        <v>46</v>
      </c>
      <c r="Z3" s="2" t="s">
        <v>45</v>
      </c>
    </row>
    <row r="4" spans="1:26">
      <c r="A4" s="3" t="s">
        <v>44</v>
      </c>
      <c r="B4" s="2" t="s">
        <v>43</v>
      </c>
      <c r="C4" s="2">
        <v>5891.4790000000003</v>
      </c>
      <c r="D4" s="2">
        <v>37</v>
      </c>
      <c r="E4" s="2" t="e">
        <f>NA()</f>
        <v>#N/A</v>
      </c>
      <c r="F4" s="2" t="e">
        <f>NA()</f>
        <v>#N/A</v>
      </c>
      <c r="I4" s="2">
        <v>5891.4790000000003</v>
      </c>
      <c r="J4" s="2">
        <f t="shared" ref="J4:J35" si="0">I4*D4/100</f>
        <v>2179.8472299999999</v>
      </c>
      <c r="K4" s="2">
        <f>1128.114+16</f>
        <v>1144.114</v>
      </c>
      <c r="L4" s="2">
        <f t="shared" ref="L4:L35" si="1">I4+K4</f>
        <v>7035.5930000000008</v>
      </c>
      <c r="S4" s="2" t="s">
        <v>7</v>
      </c>
      <c r="U4" s="2" t="s">
        <v>38</v>
      </c>
      <c r="V4" s="2">
        <v>51.225319999999847</v>
      </c>
      <c r="W4" s="2">
        <f t="shared" ref="W4:W27" si="2">475/12</f>
        <v>39.583333333333336</v>
      </c>
    </row>
    <row r="5" spans="1:26">
      <c r="B5" s="3" t="s">
        <v>42</v>
      </c>
      <c r="C5" s="2">
        <v>5911.3789999999999</v>
      </c>
      <c r="D5" s="2">
        <v>37</v>
      </c>
      <c r="E5" s="2" t="e">
        <f>NA()</f>
        <v>#N/A</v>
      </c>
      <c r="F5" s="2" t="e">
        <f>NA()</f>
        <v>#N/A</v>
      </c>
      <c r="I5" s="2">
        <v>5911.3789999999999</v>
      </c>
      <c r="J5" s="2">
        <f t="shared" si="0"/>
        <v>2187.2102299999997</v>
      </c>
      <c r="K5" s="2">
        <f>K4+9.4394</f>
        <v>1153.5534</v>
      </c>
      <c r="L5" s="2">
        <f t="shared" si="1"/>
        <v>7064.9323999999997</v>
      </c>
      <c r="P5" s="2">
        <f t="shared" ref="P5:P36" si="3">(L5-L4)*D5/100</f>
        <v>10.855577999999605</v>
      </c>
      <c r="Q5" s="2">
        <f t="shared" ref="Q5:Q36" si="4">(I5-I4)*D5/100</f>
        <v>7.3629999999998654</v>
      </c>
      <c r="S5" s="2" t="s">
        <v>5</v>
      </c>
      <c r="T5" s="2">
        <v>47.603399999999766</v>
      </c>
      <c r="U5" s="2" t="s">
        <v>37</v>
      </c>
      <c r="V5" s="2">
        <v>55.473720000000128</v>
      </c>
      <c r="W5" s="2">
        <f t="shared" si="2"/>
        <v>39.583333333333336</v>
      </c>
    </row>
    <row r="6" spans="1:26">
      <c r="B6" s="2" t="s">
        <v>25</v>
      </c>
      <c r="C6" s="2">
        <v>5905.7690000000002</v>
      </c>
      <c r="D6" s="2">
        <v>36</v>
      </c>
      <c r="E6" s="2" t="e">
        <f>NA()</f>
        <v>#N/A</v>
      </c>
      <c r="F6" s="2" t="e">
        <f>NA()</f>
        <v>#N/A</v>
      </c>
      <c r="I6" s="2">
        <v>5905.7690000000002</v>
      </c>
      <c r="J6" s="2">
        <f t="shared" si="0"/>
        <v>2126.0768400000002</v>
      </c>
      <c r="K6" s="2">
        <v>1181.5530000000001</v>
      </c>
      <c r="L6" s="2">
        <f t="shared" si="1"/>
        <v>7087.3220000000001</v>
      </c>
      <c r="P6" s="2">
        <f t="shared" si="3"/>
        <v>8.0602560000001535</v>
      </c>
      <c r="Q6" s="2">
        <f t="shared" si="4"/>
        <v>-2.0195999999998819</v>
      </c>
      <c r="S6" s="2" t="s">
        <v>4</v>
      </c>
      <c r="T6" s="2">
        <v>77.073240000000212</v>
      </c>
      <c r="U6" s="2" t="s">
        <v>36</v>
      </c>
      <c r="V6" s="2">
        <v>59.435239999999922</v>
      </c>
      <c r="W6" s="2">
        <f t="shared" si="2"/>
        <v>39.583333333333336</v>
      </c>
    </row>
    <row r="7" spans="1:26">
      <c r="A7" s="2" t="s">
        <v>5</v>
      </c>
      <c r="B7" s="3" t="s">
        <v>10</v>
      </c>
      <c r="C7" s="2">
        <v>5942.0420000000004</v>
      </c>
      <c r="D7" s="2">
        <v>36</v>
      </c>
      <c r="E7" s="2" t="e">
        <f>NA()</f>
        <v>#N/A</v>
      </c>
      <c r="F7" s="2" t="e">
        <f>NA()</f>
        <v>#N/A</v>
      </c>
      <c r="I7" s="2">
        <v>5942.0420000000004</v>
      </c>
      <c r="J7" s="2">
        <f t="shared" si="0"/>
        <v>2139.1351200000004</v>
      </c>
      <c r="K7" s="2">
        <f>K6+38</f>
        <v>1219.5530000000001</v>
      </c>
      <c r="L7" s="2">
        <f t="shared" si="1"/>
        <v>7161.5950000000003</v>
      </c>
      <c r="P7" s="2">
        <f t="shared" si="3"/>
        <v>26.738280000000049</v>
      </c>
      <c r="Q7" s="2">
        <f t="shared" si="4"/>
        <v>13.05828000000005</v>
      </c>
      <c r="R7" s="2">
        <f t="shared" ref="R7:R38" si="5">SUM(Q7:Q9)</f>
        <v>51.225319999999847</v>
      </c>
      <c r="S7" s="2" t="s">
        <v>3</v>
      </c>
      <c r="T7" s="2">
        <v>38.166219999999967</v>
      </c>
      <c r="U7" s="2" t="s">
        <v>35</v>
      </c>
      <c r="V7" s="2">
        <v>54.522179999999906</v>
      </c>
      <c r="W7" s="2">
        <f t="shared" si="2"/>
        <v>39.583333333333336</v>
      </c>
    </row>
    <row r="8" spans="1:26">
      <c r="B8" s="3" t="s">
        <v>9</v>
      </c>
      <c r="C8" s="2">
        <v>6006.0450000000001</v>
      </c>
      <c r="D8" s="2">
        <v>34</v>
      </c>
      <c r="E8" s="2" t="e">
        <f>NA()</f>
        <v>#N/A</v>
      </c>
      <c r="F8" s="2" t="e">
        <f>NA()</f>
        <v>#N/A</v>
      </c>
      <c r="I8" s="2">
        <v>6006.0450000000001</v>
      </c>
      <c r="J8" s="2">
        <f t="shared" si="0"/>
        <v>2042.0553</v>
      </c>
      <c r="K8" s="2">
        <f>K7+17</f>
        <v>1236.5530000000001</v>
      </c>
      <c r="L8" s="2">
        <f t="shared" si="1"/>
        <v>7242.598</v>
      </c>
      <c r="P8" s="2">
        <f t="shared" si="3"/>
        <v>27.5410199999999</v>
      </c>
      <c r="Q8" s="2">
        <f t="shared" si="4"/>
        <v>21.761019999999899</v>
      </c>
      <c r="R8" s="2">
        <f t="shared" si="5"/>
        <v>47.603399999999766</v>
      </c>
      <c r="S8" s="2" t="s">
        <v>2</v>
      </c>
      <c r="T8" s="2">
        <v>57.78588999999981</v>
      </c>
      <c r="U8" s="2" t="s">
        <v>41</v>
      </c>
      <c r="V8" s="2">
        <v>41.857970000000229</v>
      </c>
      <c r="W8" s="2">
        <f t="shared" si="2"/>
        <v>39.583333333333336</v>
      </c>
    </row>
    <row r="9" spans="1:26">
      <c r="B9" s="2" t="s">
        <v>24</v>
      </c>
      <c r="C9" s="2">
        <v>6054.2979999999998</v>
      </c>
      <c r="D9" s="2">
        <v>34</v>
      </c>
      <c r="E9" s="2" t="e">
        <f>NA()</f>
        <v>#N/A</v>
      </c>
      <c r="F9" s="2" t="e">
        <f>NA()</f>
        <v>#N/A</v>
      </c>
      <c r="I9" s="2">
        <v>6054.2979999999998</v>
      </c>
      <c r="J9" s="2">
        <f t="shared" si="0"/>
        <v>2058.4613199999999</v>
      </c>
      <c r="K9" s="2">
        <f>K8+21</f>
        <v>1257.5530000000001</v>
      </c>
      <c r="L9" s="2">
        <f t="shared" si="1"/>
        <v>7311.8509999999997</v>
      </c>
      <c r="P9" s="2">
        <f t="shared" si="3"/>
        <v>23.546019999999899</v>
      </c>
      <c r="Q9" s="2">
        <f t="shared" si="4"/>
        <v>16.406019999999899</v>
      </c>
      <c r="R9" s="2">
        <f t="shared" si="5"/>
        <v>54.810719999999876</v>
      </c>
      <c r="S9" s="2" t="s">
        <v>1</v>
      </c>
      <c r="T9" s="2">
        <v>53.706820000000164</v>
      </c>
      <c r="U9" s="2" t="s">
        <v>33</v>
      </c>
      <c r="V9" s="2">
        <v>62.99450999999987</v>
      </c>
      <c r="W9" s="2">
        <f t="shared" si="2"/>
        <v>39.583333333333336</v>
      </c>
    </row>
    <row r="10" spans="1:26">
      <c r="A10" s="2" t="s">
        <v>4</v>
      </c>
      <c r="B10" s="3" t="s">
        <v>10</v>
      </c>
      <c r="C10" s="2">
        <v>6082.0519999999997</v>
      </c>
      <c r="D10" s="2">
        <v>34</v>
      </c>
      <c r="E10" s="2" t="e">
        <f>NA()</f>
        <v>#N/A</v>
      </c>
      <c r="F10" s="2" t="e">
        <f>NA()</f>
        <v>#N/A</v>
      </c>
      <c r="I10" s="2">
        <v>6082.0519999999997</v>
      </c>
      <c r="J10" s="2">
        <f t="shared" si="0"/>
        <v>2067.89768</v>
      </c>
      <c r="K10" s="2">
        <f>K9+25</f>
        <v>1282.5530000000001</v>
      </c>
      <c r="L10" s="2">
        <f t="shared" si="1"/>
        <v>7364.6049999999996</v>
      </c>
      <c r="P10" s="2">
        <f t="shared" si="3"/>
        <v>17.936359999999969</v>
      </c>
      <c r="Q10" s="2">
        <f t="shared" si="4"/>
        <v>9.4363599999999686</v>
      </c>
      <c r="R10" s="2">
        <f t="shared" si="5"/>
        <v>55.473720000000128</v>
      </c>
      <c r="S10" s="2" t="s">
        <v>0</v>
      </c>
      <c r="T10" s="2">
        <v>56.163569999999993</v>
      </c>
      <c r="U10" s="2" t="s">
        <v>32</v>
      </c>
      <c r="V10" s="2">
        <v>44.208479999999966</v>
      </c>
      <c r="W10" s="2">
        <f t="shared" si="2"/>
        <v>39.583333333333336</v>
      </c>
    </row>
    <row r="11" spans="1:26">
      <c r="B11" s="3" t="s">
        <v>9</v>
      </c>
      <c r="C11" s="2">
        <v>6167.2529999999997</v>
      </c>
      <c r="D11" s="2">
        <v>34</v>
      </c>
      <c r="E11" s="2" t="e">
        <f>NA()</f>
        <v>#N/A</v>
      </c>
      <c r="F11" s="2" t="e">
        <f>NA()</f>
        <v>#N/A</v>
      </c>
      <c r="I11" s="2">
        <v>6167.2529999999997</v>
      </c>
      <c r="J11" s="2">
        <f t="shared" si="0"/>
        <v>2096.8660199999999</v>
      </c>
      <c r="K11" s="2">
        <f>K10+25</f>
        <v>1307.5530000000001</v>
      </c>
      <c r="L11" s="2">
        <f t="shared" si="1"/>
        <v>7474.8059999999996</v>
      </c>
      <c r="P11" s="2">
        <f t="shared" si="3"/>
        <v>37.468340000000005</v>
      </c>
      <c r="Q11" s="2">
        <f t="shared" si="4"/>
        <v>28.968340000000008</v>
      </c>
      <c r="R11" s="2">
        <f t="shared" si="5"/>
        <v>77.073240000000212</v>
      </c>
      <c r="S11" s="2" t="s">
        <v>18</v>
      </c>
      <c r="T11" s="2">
        <v>41.742000000000061</v>
      </c>
      <c r="U11" s="2" t="s">
        <v>31</v>
      </c>
      <c r="V11" s="2">
        <v>39.183250000000129</v>
      </c>
      <c r="W11" s="2">
        <f t="shared" si="2"/>
        <v>39.583333333333336</v>
      </c>
    </row>
    <row r="12" spans="1:26">
      <c r="B12" s="2" t="s">
        <v>23</v>
      </c>
      <c r="C12" s="2">
        <v>6217.4560000000001</v>
      </c>
      <c r="D12" s="2">
        <v>34</v>
      </c>
      <c r="E12" s="2" t="e">
        <f>NA()</f>
        <v>#N/A</v>
      </c>
      <c r="F12" s="2" t="e">
        <f>NA()</f>
        <v>#N/A</v>
      </c>
      <c r="I12" s="2">
        <v>6217.4560000000001</v>
      </c>
      <c r="J12" s="2">
        <f t="shared" si="0"/>
        <v>2113.9350400000003</v>
      </c>
      <c r="K12" s="2">
        <f>K11+25</f>
        <v>1332.5530000000001</v>
      </c>
      <c r="L12" s="2">
        <f t="shared" si="1"/>
        <v>7550.009</v>
      </c>
      <c r="P12" s="2">
        <f t="shared" si="3"/>
        <v>25.569020000000148</v>
      </c>
      <c r="Q12" s="2">
        <f t="shared" si="4"/>
        <v>17.069020000000148</v>
      </c>
      <c r="R12" s="2">
        <f t="shared" si="5"/>
        <v>67.416260000000193</v>
      </c>
      <c r="S12" s="2">
        <v>1795</v>
      </c>
      <c r="T12" s="2">
        <v>47.761839999999985</v>
      </c>
      <c r="U12" s="2" t="s">
        <v>30</v>
      </c>
      <c r="V12" s="2">
        <v>63.662459999999946</v>
      </c>
      <c r="W12" s="2">
        <f t="shared" si="2"/>
        <v>39.583333333333336</v>
      </c>
    </row>
    <row r="13" spans="1:26">
      <c r="A13" s="2" t="s">
        <v>3</v>
      </c>
      <c r="B13" s="3" t="s">
        <v>10</v>
      </c>
      <c r="C13" s="2">
        <v>6308.7380000000003</v>
      </c>
      <c r="D13" s="2">
        <v>34</v>
      </c>
      <c r="E13" s="2" t="e">
        <f>NA()</f>
        <v>#N/A</v>
      </c>
      <c r="F13" s="2" t="e">
        <f>NA()</f>
        <v>#N/A</v>
      </c>
      <c r="I13" s="2">
        <v>6308.7380000000003</v>
      </c>
      <c r="J13" s="2">
        <f t="shared" si="0"/>
        <v>2144.9709200000002</v>
      </c>
      <c r="K13" s="2">
        <f>K12+20</f>
        <v>1352.5530000000001</v>
      </c>
      <c r="L13" s="2">
        <f t="shared" si="1"/>
        <v>7661.2910000000002</v>
      </c>
      <c r="P13" s="2">
        <f t="shared" si="3"/>
        <v>37.835880000000053</v>
      </c>
      <c r="Q13" s="2">
        <f t="shared" si="4"/>
        <v>31.035880000000052</v>
      </c>
      <c r="R13" s="2">
        <f t="shared" si="5"/>
        <v>59.435239999999922</v>
      </c>
      <c r="S13" s="2" t="s">
        <v>15</v>
      </c>
      <c r="T13" s="2">
        <v>60.039909999999921</v>
      </c>
      <c r="U13" s="2" t="s">
        <v>29</v>
      </c>
      <c r="V13" s="2">
        <v>70.964350000000039</v>
      </c>
      <c r="W13" s="2">
        <f t="shared" si="2"/>
        <v>39.583333333333336</v>
      </c>
    </row>
    <row r="14" spans="1:26">
      <c r="B14" s="3" t="s">
        <v>9</v>
      </c>
      <c r="C14" s="2">
        <v>6369.0860000000002</v>
      </c>
      <c r="D14" s="2">
        <v>32</v>
      </c>
      <c r="E14" s="2" t="e">
        <f>NA()</f>
        <v>#N/A</v>
      </c>
      <c r="F14" s="2" t="e">
        <f>NA()</f>
        <v>#N/A</v>
      </c>
      <c r="I14" s="2">
        <v>6369.0860000000002</v>
      </c>
      <c r="J14" s="2">
        <f t="shared" si="0"/>
        <v>2038.10752</v>
      </c>
      <c r="K14" s="2">
        <f>K13+24</f>
        <v>1376.5530000000001</v>
      </c>
      <c r="L14" s="2">
        <f t="shared" si="1"/>
        <v>7745.6390000000001</v>
      </c>
      <c r="P14" s="2">
        <f t="shared" si="3"/>
        <v>26.991359999999986</v>
      </c>
      <c r="Q14" s="2">
        <f t="shared" si="4"/>
        <v>19.311359999999986</v>
      </c>
      <c r="R14" s="2">
        <f t="shared" si="5"/>
        <v>38.166219999999967</v>
      </c>
      <c r="S14" s="2" t="s">
        <v>13</v>
      </c>
      <c r="T14" s="2">
        <v>73.604269999999985</v>
      </c>
      <c r="U14" s="2" t="s">
        <v>28</v>
      </c>
      <c r="V14" s="2">
        <v>89.052779999999956</v>
      </c>
      <c r="W14" s="2">
        <f t="shared" si="2"/>
        <v>39.583333333333336</v>
      </c>
    </row>
    <row r="15" spans="1:26">
      <c r="B15" s="2" t="s">
        <v>22</v>
      </c>
      <c r="C15" s="2">
        <v>6397.4859999999999</v>
      </c>
      <c r="D15" s="2">
        <v>32</v>
      </c>
      <c r="E15" s="2" t="e">
        <f>NA()</f>
        <v>#N/A</v>
      </c>
      <c r="F15" s="2" t="e">
        <f>NA()</f>
        <v>#N/A</v>
      </c>
      <c r="I15" s="2">
        <v>6397.4859999999999</v>
      </c>
      <c r="J15" s="2">
        <f t="shared" si="0"/>
        <v>2047.19552</v>
      </c>
      <c r="K15" s="2">
        <f>K14+18</f>
        <v>1394.5530000000001</v>
      </c>
      <c r="L15" s="2">
        <f t="shared" si="1"/>
        <v>7792.0389999999998</v>
      </c>
      <c r="P15" s="2">
        <f t="shared" si="3"/>
        <v>14.847999999999884</v>
      </c>
      <c r="Q15" s="2">
        <f t="shared" si="4"/>
        <v>9.0879999999998837</v>
      </c>
      <c r="R15" s="2">
        <f t="shared" si="5"/>
        <v>33.678440000000045</v>
      </c>
      <c r="S15" s="2" t="s">
        <v>11</v>
      </c>
      <c r="T15" s="2">
        <v>105.87482000000001</v>
      </c>
      <c r="U15" s="2" t="s">
        <v>27</v>
      </c>
      <c r="V15" s="2">
        <v>96.558500000000038</v>
      </c>
      <c r="W15" s="2">
        <f t="shared" si="2"/>
        <v>39.583333333333336</v>
      </c>
    </row>
    <row r="16" spans="1:26">
      <c r="A16" s="2" t="s">
        <v>2</v>
      </c>
      <c r="B16" s="3" t="s">
        <v>10</v>
      </c>
      <c r="C16" s="2">
        <v>6428.9920000000002</v>
      </c>
      <c r="D16" s="2">
        <v>31</v>
      </c>
      <c r="E16" s="2" t="e">
        <f>NA()</f>
        <v>#N/A</v>
      </c>
      <c r="F16" s="2" t="e">
        <f>NA()</f>
        <v>#N/A</v>
      </c>
      <c r="I16" s="2">
        <v>6428.9920000000002</v>
      </c>
      <c r="J16" s="2">
        <f t="shared" si="0"/>
        <v>1992.9875200000001</v>
      </c>
      <c r="K16" s="2">
        <f>K15+20</f>
        <v>1414.5530000000001</v>
      </c>
      <c r="L16" s="2">
        <f t="shared" si="1"/>
        <v>7843.5450000000001</v>
      </c>
      <c r="P16" s="2">
        <f t="shared" si="3"/>
        <v>15.966860000000096</v>
      </c>
      <c r="Q16" s="2">
        <f t="shared" si="4"/>
        <v>9.7668600000000971</v>
      </c>
      <c r="R16" s="2">
        <f t="shared" si="5"/>
        <v>54.522179999999906</v>
      </c>
      <c r="S16" s="2" t="s">
        <v>7</v>
      </c>
      <c r="T16" s="2">
        <v>77.400099999999966</v>
      </c>
      <c r="U16" s="2" t="s">
        <v>38</v>
      </c>
      <c r="V16" s="2">
        <f>SUM(Q43:Q45)</f>
        <v>58.580999999999918</v>
      </c>
      <c r="W16" s="2">
        <f t="shared" si="2"/>
        <v>39.583333333333336</v>
      </c>
    </row>
    <row r="17" spans="1:23">
      <c r="B17" s="3" t="s">
        <v>9</v>
      </c>
      <c r="C17" s="2">
        <v>6476.81</v>
      </c>
      <c r="D17" s="2">
        <v>31</v>
      </c>
      <c r="E17" s="2" t="e">
        <f>NA()</f>
        <v>#N/A</v>
      </c>
      <c r="F17" s="2" t="e">
        <f>NA()</f>
        <v>#N/A</v>
      </c>
      <c r="I17" s="2">
        <v>6476.81</v>
      </c>
      <c r="J17" s="2">
        <f t="shared" si="0"/>
        <v>2007.8111000000001</v>
      </c>
      <c r="K17" s="2">
        <f>K16+20</f>
        <v>1434.5530000000001</v>
      </c>
      <c r="L17" s="2">
        <f t="shared" si="1"/>
        <v>7911.3630000000003</v>
      </c>
      <c r="P17" s="2">
        <f t="shared" si="3"/>
        <v>21.023580000000067</v>
      </c>
      <c r="Q17" s="2">
        <f t="shared" si="4"/>
        <v>14.823580000000065</v>
      </c>
      <c r="R17" s="2">
        <f t="shared" si="5"/>
        <v>57.78588999999981</v>
      </c>
      <c r="S17" s="2" t="s">
        <v>5</v>
      </c>
      <c r="T17" s="2">
        <f>SUM(Q44:Q46)</f>
        <v>71.46820000000001</v>
      </c>
      <c r="U17" s="2" t="s">
        <v>37</v>
      </c>
      <c r="V17" s="2">
        <v>87.436575000000005</v>
      </c>
      <c r="W17" s="2">
        <f t="shared" si="2"/>
        <v>39.583333333333336</v>
      </c>
    </row>
    <row r="18" spans="1:23">
      <c r="B18" s="2" t="s">
        <v>40</v>
      </c>
      <c r="C18" s="2">
        <v>6573.3639999999996</v>
      </c>
      <c r="D18" s="2">
        <v>31</v>
      </c>
      <c r="E18" s="2" t="e">
        <f>NA()</f>
        <v>#N/A</v>
      </c>
      <c r="F18" s="2" t="e">
        <f>NA()</f>
        <v>#N/A</v>
      </c>
      <c r="I18" s="2">
        <v>6573.3639999999996</v>
      </c>
      <c r="J18" s="2">
        <f t="shared" si="0"/>
        <v>2037.7428399999999</v>
      </c>
      <c r="K18" s="2">
        <f>K17+16</f>
        <v>1450.5530000000001</v>
      </c>
      <c r="L18" s="2">
        <f t="shared" si="1"/>
        <v>8023.9169999999995</v>
      </c>
      <c r="P18" s="2">
        <f t="shared" si="3"/>
        <v>34.891739999999743</v>
      </c>
      <c r="Q18" s="2">
        <f t="shared" si="4"/>
        <v>29.931739999999746</v>
      </c>
      <c r="R18" s="2">
        <f t="shared" si="5"/>
        <v>58.735269999999844</v>
      </c>
      <c r="S18" s="2" t="s">
        <v>4</v>
      </c>
      <c r="T18" s="2">
        <v>76.974525000000042</v>
      </c>
      <c r="U18" s="2" t="s">
        <v>36</v>
      </c>
      <c r="V18" s="2">
        <v>50.140875000000008</v>
      </c>
      <c r="W18" s="2">
        <f t="shared" si="2"/>
        <v>39.583333333333336</v>
      </c>
    </row>
    <row r="19" spans="1:23">
      <c r="A19" s="2" t="s">
        <v>1</v>
      </c>
      <c r="B19" s="3" t="s">
        <v>10</v>
      </c>
      <c r="C19" s="2">
        <v>6618.2969999999996</v>
      </c>
      <c r="D19" s="2">
        <v>29</v>
      </c>
      <c r="E19" s="2" t="e">
        <f>NA()</f>
        <v>#N/A</v>
      </c>
      <c r="F19" s="2" t="e">
        <f>NA()</f>
        <v>#N/A</v>
      </c>
      <c r="I19" s="2">
        <v>6618.2969999999996</v>
      </c>
      <c r="J19" s="2">
        <f t="shared" si="0"/>
        <v>1919.3061299999999</v>
      </c>
      <c r="K19" s="2">
        <f>K18+25</f>
        <v>1475.5530000000001</v>
      </c>
      <c r="L19" s="2">
        <f t="shared" si="1"/>
        <v>8093.8499999999995</v>
      </c>
      <c r="P19" s="2">
        <f t="shared" si="3"/>
        <v>20.280569999999997</v>
      </c>
      <c r="Q19" s="2">
        <f t="shared" si="4"/>
        <v>13.030569999999997</v>
      </c>
      <c r="R19" s="2">
        <f t="shared" si="5"/>
        <v>41.857970000000229</v>
      </c>
      <c r="S19" s="2" t="s">
        <v>3</v>
      </c>
      <c r="T19" s="2">
        <v>42.012874999999987</v>
      </c>
      <c r="U19" s="2" t="s">
        <v>35</v>
      </c>
      <c r="V19" s="2">
        <v>40.85064375000001</v>
      </c>
      <c r="W19" s="2">
        <f t="shared" si="2"/>
        <v>39.583333333333336</v>
      </c>
    </row>
    <row r="20" spans="1:23">
      <c r="B20" s="3" t="s">
        <v>9</v>
      </c>
      <c r="C20" s="2">
        <v>6674.6289999999999</v>
      </c>
      <c r="D20" s="2">
        <v>28</v>
      </c>
      <c r="E20" s="2" t="e">
        <f>NA()</f>
        <v>#N/A</v>
      </c>
      <c r="F20" s="2" t="e">
        <f>NA()</f>
        <v>#N/A</v>
      </c>
      <c r="I20" s="2">
        <v>6674.6289999999999</v>
      </c>
      <c r="J20" s="2">
        <f t="shared" si="0"/>
        <v>1868.8961199999999</v>
      </c>
      <c r="K20" s="2">
        <f>K19+18.683+23</f>
        <v>1517.2360000000001</v>
      </c>
      <c r="L20" s="2">
        <f t="shared" si="1"/>
        <v>8191.8649999999998</v>
      </c>
      <c r="P20" s="2">
        <f t="shared" si="3"/>
        <v>27.444200000000091</v>
      </c>
      <c r="Q20" s="2">
        <f t="shared" si="4"/>
        <v>15.772960000000094</v>
      </c>
      <c r="R20" s="2">
        <f t="shared" si="5"/>
        <v>53.706820000000164</v>
      </c>
      <c r="S20" s="2" t="s">
        <v>2</v>
      </c>
      <c r="T20" s="2">
        <v>37.647818749999999</v>
      </c>
      <c r="U20" s="2" t="s">
        <v>39</v>
      </c>
      <c r="V20" s="2">
        <v>32.560471778099995</v>
      </c>
      <c r="W20" s="2">
        <f t="shared" si="2"/>
        <v>39.583333333333336</v>
      </c>
    </row>
    <row r="21" spans="1:23">
      <c r="B21" s="2" t="s">
        <v>20</v>
      </c>
      <c r="C21" s="2">
        <v>6721.2520000000004</v>
      </c>
      <c r="D21" s="2">
        <v>28</v>
      </c>
      <c r="E21" s="2" t="e">
        <f>NA()</f>
        <v>#N/A</v>
      </c>
      <c r="F21" s="2" t="e">
        <f>NA()</f>
        <v>#N/A</v>
      </c>
      <c r="I21" s="2">
        <v>6721.2520000000004</v>
      </c>
      <c r="J21" s="2">
        <f t="shared" si="0"/>
        <v>1881.9505600000002</v>
      </c>
      <c r="K21" s="2">
        <f>K20</f>
        <v>1517.2360000000001</v>
      </c>
      <c r="L21" s="2">
        <f t="shared" si="1"/>
        <v>8238.4880000000012</v>
      </c>
      <c r="P21" s="2">
        <f t="shared" si="3"/>
        <v>13.054440000000396</v>
      </c>
      <c r="Q21" s="2">
        <f t="shared" si="4"/>
        <v>13.05444000000014</v>
      </c>
      <c r="R21" s="2">
        <f t="shared" si="5"/>
        <v>56.60420000000012</v>
      </c>
      <c r="S21" s="2" t="s">
        <v>1</v>
      </c>
      <c r="T21" s="2">
        <v>28.992521778100002</v>
      </c>
      <c r="U21" s="2" t="s">
        <v>33</v>
      </c>
      <c r="V21" s="2">
        <v>22.492860000000022</v>
      </c>
      <c r="W21" s="2">
        <f t="shared" si="2"/>
        <v>39.583333333333336</v>
      </c>
    </row>
    <row r="22" spans="1:23">
      <c r="A22" s="2" t="s">
        <v>0</v>
      </c>
      <c r="B22" s="3" t="s">
        <v>10</v>
      </c>
      <c r="C22" s="2">
        <v>6813.3980000000001</v>
      </c>
      <c r="D22" s="2">
        <v>27</v>
      </c>
      <c r="E22" s="2" t="e">
        <f>NA()</f>
        <v>#N/A</v>
      </c>
      <c r="F22" s="2" t="e">
        <f>NA()</f>
        <v>#N/A</v>
      </c>
      <c r="I22" s="2">
        <v>6813.3980000000001</v>
      </c>
      <c r="J22" s="2">
        <f t="shared" si="0"/>
        <v>1839.6174600000002</v>
      </c>
      <c r="K22" s="2">
        <f>K21+9.772</f>
        <v>1527.008</v>
      </c>
      <c r="L22" s="2">
        <f t="shared" si="1"/>
        <v>8340.4060000000009</v>
      </c>
      <c r="P22" s="2">
        <f t="shared" si="3"/>
        <v>27.51785999999991</v>
      </c>
      <c r="Q22" s="2">
        <f t="shared" si="4"/>
        <v>24.879419999999929</v>
      </c>
      <c r="R22" s="2">
        <f t="shared" si="5"/>
        <v>62.994509999999863</v>
      </c>
      <c r="S22" s="2" t="s">
        <v>0</v>
      </c>
      <c r="T22" s="2">
        <v>20.715585793749987</v>
      </c>
      <c r="U22" s="2" t="s">
        <v>32</v>
      </c>
      <c r="V22" s="2">
        <v>17.109657717999994</v>
      </c>
      <c r="W22" s="2">
        <f t="shared" si="2"/>
        <v>39.583333333333336</v>
      </c>
    </row>
    <row r="23" spans="1:23">
      <c r="B23" s="3" t="s">
        <v>9</v>
      </c>
      <c r="C23" s="2">
        <v>6885.2070000000003</v>
      </c>
      <c r="D23" s="2">
        <v>26</v>
      </c>
      <c r="E23" s="2" t="e">
        <f>NA()</f>
        <v>#N/A</v>
      </c>
      <c r="F23" s="2" t="e">
        <f>NA()</f>
        <v>#N/A</v>
      </c>
      <c r="I23" s="2">
        <v>6885.2070000000003</v>
      </c>
      <c r="J23" s="2">
        <f t="shared" si="0"/>
        <v>1790.1538200000002</v>
      </c>
      <c r="K23" s="2">
        <f>K22+8</f>
        <v>1535.008</v>
      </c>
      <c r="L23" s="2">
        <f t="shared" si="1"/>
        <v>8420.2150000000001</v>
      </c>
      <c r="P23" s="2">
        <f t="shared" si="3"/>
        <v>20.750339999999813</v>
      </c>
      <c r="Q23" s="2">
        <f t="shared" si="4"/>
        <v>18.670340000000053</v>
      </c>
      <c r="R23" s="2">
        <f t="shared" si="5"/>
        <v>56.163569999999993</v>
      </c>
      <c r="S23" s="2" t="s">
        <v>18</v>
      </c>
      <c r="T23" s="2">
        <v>27.493256924250005</v>
      </c>
      <c r="U23" s="2" t="s">
        <v>31</v>
      </c>
      <c r="V23" s="2">
        <v>41.095050121250011</v>
      </c>
      <c r="W23" s="2">
        <f t="shared" si="2"/>
        <v>39.583333333333336</v>
      </c>
    </row>
    <row r="24" spans="1:23">
      <c r="B24" s="2" t="s">
        <v>19</v>
      </c>
      <c r="C24" s="2">
        <v>6962.9859999999999</v>
      </c>
      <c r="D24" s="2">
        <v>25</v>
      </c>
      <c r="E24" s="2" t="e">
        <f>NA()</f>
        <v>#N/A</v>
      </c>
      <c r="F24" s="2" t="e">
        <f>NA()</f>
        <v>#N/A</v>
      </c>
      <c r="I24" s="2">
        <v>6962.9859999999999</v>
      </c>
      <c r="J24" s="2">
        <f t="shared" si="0"/>
        <v>1740.7465</v>
      </c>
      <c r="K24" s="2">
        <f>K23+8</f>
        <v>1543.008</v>
      </c>
      <c r="L24" s="2">
        <f t="shared" si="1"/>
        <v>8505.9940000000006</v>
      </c>
      <c r="P24" s="2">
        <f t="shared" si="3"/>
        <v>21.444750000000113</v>
      </c>
      <c r="Q24" s="2">
        <f t="shared" si="4"/>
        <v>19.444749999999885</v>
      </c>
      <c r="R24" s="2">
        <f t="shared" si="5"/>
        <v>50.032369999999943</v>
      </c>
      <c r="S24" s="2">
        <v>1796</v>
      </c>
      <c r="T24" s="2">
        <v>27.316425121249988</v>
      </c>
      <c r="U24" s="2" t="s">
        <v>30</v>
      </c>
      <c r="V24" s="2">
        <v>4.6878724999999859</v>
      </c>
      <c r="W24" s="2">
        <f t="shared" si="2"/>
        <v>39.583333333333336</v>
      </c>
    </row>
    <row r="25" spans="1:23">
      <c r="A25" s="2" t="s">
        <v>18</v>
      </c>
      <c r="B25" s="3" t="s">
        <v>10</v>
      </c>
      <c r="C25" s="2">
        <v>7038.1880000000001</v>
      </c>
      <c r="D25" s="2">
        <v>24</v>
      </c>
      <c r="E25" s="2" t="e">
        <f>NA()</f>
        <v>#N/A</v>
      </c>
      <c r="F25" s="2" t="e">
        <f>NA()</f>
        <v>#N/A</v>
      </c>
      <c r="I25" s="2">
        <v>7038.1880000000001</v>
      </c>
      <c r="J25" s="2">
        <f t="shared" si="0"/>
        <v>1689.1651199999999</v>
      </c>
      <c r="K25" s="2">
        <f>K24+1.1</f>
        <v>1544.1079999999999</v>
      </c>
      <c r="L25" s="2">
        <f t="shared" si="1"/>
        <v>8582.2960000000003</v>
      </c>
      <c r="P25" s="2">
        <f t="shared" si="3"/>
        <v>18.312479999999923</v>
      </c>
      <c r="Q25" s="2">
        <f t="shared" si="4"/>
        <v>18.048480000000055</v>
      </c>
      <c r="R25" s="2">
        <f t="shared" si="5"/>
        <v>44.208479999999966</v>
      </c>
      <c r="S25" s="2" t="s">
        <v>15</v>
      </c>
      <c r="T25" s="2">
        <v>2.7901287500000245</v>
      </c>
      <c r="U25" s="2" t="s">
        <v>29</v>
      </c>
      <c r="V25" s="2">
        <v>5.7755444921249994</v>
      </c>
      <c r="W25" s="2">
        <f t="shared" si="2"/>
        <v>39.583333333333336</v>
      </c>
    </row>
    <row r="26" spans="1:23">
      <c r="B26" s="3" t="s">
        <v>9</v>
      </c>
      <c r="C26" s="2">
        <v>7092.7060000000001</v>
      </c>
      <c r="D26" s="2">
        <v>23</v>
      </c>
      <c r="E26" s="2" t="e">
        <f>NA()</f>
        <v>#N/A</v>
      </c>
      <c r="F26" s="2" t="e">
        <f>NA()</f>
        <v>#N/A</v>
      </c>
      <c r="I26" s="2">
        <v>7092.7060000000001</v>
      </c>
      <c r="J26" s="2">
        <f t="shared" si="0"/>
        <v>1631.3223800000001</v>
      </c>
      <c r="K26" s="2">
        <f>K25+0</f>
        <v>1544.1079999999999</v>
      </c>
      <c r="L26" s="2">
        <f t="shared" si="1"/>
        <v>8636.8140000000003</v>
      </c>
      <c r="P26" s="2">
        <f t="shared" si="3"/>
        <v>12.539140000000007</v>
      </c>
      <c r="Q26" s="2">
        <f t="shared" si="4"/>
        <v>12.539140000000007</v>
      </c>
      <c r="R26" s="2">
        <f t="shared" si="5"/>
        <v>41.742000000000061</v>
      </c>
      <c r="S26" s="2" t="s">
        <v>13</v>
      </c>
      <c r="T26" s="2">
        <v>4.477613242124983</v>
      </c>
      <c r="U26" s="2" t="s">
        <v>28</v>
      </c>
      <c r="V26" s="2">
        <v>0</v>
      </c>
      <c r="W26" s="2">
        <f t="shared" si="2"/>
        <v>39.583333333333336</v>
      </c>
    </row>
    <row r="27" spans="1:23">
      <c r="B27" s="2" t="s">
        <v>17</v>
      </c>
      <c r="C27" s="2">
        <v>7154.6189999999997</v>
      </c>
      <c r="D27" s="2">
        <v>22</v>
      </c>
      <c r="E27" s="2" t="e">
        <f>NA()</f>
        <v>#N/A</v>
      </c>
      <c r="F27" s="2" t="e">
        <f>NA()</f>
        <v>#N/A</v>
      </c>
      <c r="I27" s="2">
        <v>7154.6189999999997</v>
      </c>
      <c r="J27" s="2">
        <f t="shared" si="0"/>
        <v>1574.0161799999998</v>
      </c>
      <c r="K27" s="2">
        <f>K26+16</f>
        <v>1560.1079999999999</v>
      </c>
      <c r="L27" s="2">
        <f t="shared" si="1"/>
        <v>8714.726999999999</v>
      </c>
      <c r="P27" s="2">
        <f t="shared" si="3"/>
        <v>17.140859999999702</v>
      </c>
      <c r="Q27" s="2">
        <f t="shared" si="4"/>
        <v>13.620859999999903</v>
      </c>
      <c r="R27" s="2">
        <f t="shared" si="5"/>
        <v>41.294860000000064</v>
      </c>
      <c r="S27" s="2" t="s">
        <v>11</v>
      </c>
      <c r="T27" s="2">
        <v>0</v>
      </c>
      <c r="U27" s="2" t="s">
        <v>27</v>
      </c>
      <c r="V27" s="2">
        <v>0</v>
      </c>
      <c r="W27" s="2">
        <f t="shared" si="2"/>
        <v>39.583333333333336</v>
      </c>
    </row>
    <row r="28" spans="1:23">
      <c r="A28" s="2">
        <v>1795</v>
      </c>
      <c r="B28" s="3" t="s">
        <v>10</v>
      </c>
      <c r="C28" s="2">
        <v>7228.8190000000004</v>
      </c>
      <c r="D28" s="2">
        <v>21</v>
      </c>
      <c r="E28" s="2" t="e">
        <f>NA()</f>
        <v>#N/A</v>
      </c>
      <c r="F28" s="2" t="e">
        <f>NA()</f>
        <v>#N/A</v>
      </c>
      <c r="I28" s="2">
        <v>7228.8190000000004</v>
      </c>
      <c r="J28" s="2">
        <f t="shared" si="0"/>
        <v>1518.0519900000002</v>
      </c>
      <c r="K28" s="2">
        <f>K27+18</f>
        <v>1578.1079999999999</v>
      </c>
      <c r="L28" s="2">
        <f t="shared" si="1"/>
        <v>8806.9269999999997</v>
      </c>
      <c r="P28" s="2">
        <f t="shared" si="3"/>
        <v>19.362000000000151</v>
      </c>
      <c r="Q28" s="2">
        <f t="shared" si="4"/>
        <v>15.582000000000154</v>
      </c>
      <c r="R28" s="2">
        <f t="shared" si="5"/>
        <v>39.183250000000129</v>
      </c>
      <c r="S28" s="2" t="s">
        <v>7</v>
      </c>
      <c r="T28" s="2">
        <v>0</v>
      </c>
      <c r="U28" s="2" t="s">
        <v>38</v>
      </c>
    </row>
    <row r="29" spans="1:23">
      <c r="B29" s="3" t="s">
        <v>9</v>
      </c>
      <c r="C29" s="2">
        <v>7289.2790000000005</v>
      </c>
      <c r="D29" s="2">
        <v>20</v>
      </c>
      <c r="E29" s="2" t="e">
        <f>NA()</f>
        <v>#N/A</v>
      </c>
      <c r="F29" s="2" t="e">
        <f>NA()</f>
        <v>#N/A</v>
      </c>
      <c r="I29" s="2">
        <v>7289.2790000000005</v>
      </c>
      <c r="J29" s="2">
        <f t="shared" si="0"/>
        <v>1457.8558000000003</v>
      </c>
      <c r="K29" s="2">
        <f>K28</f>
        <v>1578.1079999999999</v>
      </c>
      <c r="L29" s="2">
        <f t="shared" si="1"/>
        <v>8867.3870000000006</v>
      </c>
      <c r="P29" s="2">
        <f t="shared" si="3"/>
        <v>12.092000000000189</v>
      </c>
      <c r="Q29" s="2">
        <f t="shared" si="4"/>
        <v>12.092000000000008</v>
      </c>
      <c r="R29" s="2">
        <f t="shared" si="5"/>
        <v>47.761839999999978</v>
      </c>
      <c r="S29" s="2" t="s">
        <v>5</v>
      </c>
      <c r="U29" s="2" t="s">
        <v>37</v>
      </c>
    </row>
    <row r="30" spans="1:23">
      <c r="B30" s="2" t="s">
        <v>16</v>
      </c>
      <c r="C30" s="2">
        <v>7349.8540000000003</v>
      </c>
      <c r="D30" s="2">
        <v>19</v>
      </c>
      <c r="E30" s="2" t="e">
        <f>NA()</f>
        <v>#N/A</v>
      </c>
      <c r="F30" s="2" t="e">
        <f>NA()</f>
        <v>#N/A</v>
      </c>
      <c r="I30" s="2">
        <v>7349.8540000000003</v>
      </c>
      <c r="J30" s="2">
        <f t="shared" si="0"/>
        <v>1396.47226</v>
      </c>
      <c r="K30" s="2">
        <f>K29+15</f>
        <v>1593.1079999999999</v>
      </c>
      <c r="L30" s="2">
        <f t="shared" si="1"/>
        <v>8942.9619999999995</v>
      </c>
      <c r="P30" s="2">
        <f t="shared" si="3"/>
        <v>14.359249999999793</v>
      </c>
      <c r="Q30" s="2">
        <f t="shared" si="4"/>
        <v>11.509249999999966</v>
      </c>
      <c r="R30" s="2">
        <f t="shared" si="5"/>
        <v>55.654519999999948</v>
      </c>
      <c r="S30" s="2" t="s">
        <v>4</v>
      </c>
      <c r="U30" s="2" t="s">
        <v>36</v>
      </c>
    </row>
    <row r="31" spans="1:23">
      <c r="A31" s="2" t="s">
        <v>15</v>
      </c>
      <c r="B31" s="3" t="s">
        <v>10</v>
      </c>
      <c r="C31" s="2">
        <v>7477.0150000000003</v>
      </c>
      <c r="D31" s="2">
        <v>19</v>
      </c>
      <c r="E31" s="2" t="e">
        <f>NA()</f>
        <v>#N/A</v>
      </c>
      <c r="F31" s="2" t="e">
        <f>NA()</f>
        <v>#N/A</v>
      </c>
      <c r="I31" s="2">
        <v>7477.0150000000003</v>
      </c>
      <c r="J31" s="2">
        <f t="shared" si="0"/>
        <v>1420.63285</v>
      </c>
      <c r="K31" s="2">
        <f>K30</f>
        <v>1593.1079999999999</v>
      </c>
      <c r="L31" s="2">
        <f t="shared" si="1"/>
        <v>9070.1229999999996</v>
      </c>
      <c r="P31" s="2">
        <f t="shared" si="3"/>
        <v>24.16059000000001</v>
      </c>
      <c r="Q31" s="2">
        <f t="shared" si="4"/>
        <v>24.16059000000001</v>
      </c>
      <c r="R31" s="2">
        <f t="shared" si="5"/>
        <v>63.662459999999946</v>
      </c>
      <c r="S31" s="2" t="s">
        <v>3</v>
      </c>
      <c r="U31" s="2" t="s">
        <v>35</v>
      </c>
    </row>
    <row r="32" spans="1:23">
      <c r="B32" s="3" t="s">
        <v>9</v>
      </c>
      <c r="C32" s="2">
        <v>7588.0410000000002</v>
      </c>
      <c r="D32" s="2">
        <v>18</v>
      </c>
      <c r="E32" s="2" t="e">
        <f>NA()</f>
        <v>#N/A</v>
      </c>
      <c r="F32" s="2" t="e">
        <f>NA()</f>
        <v>#N/A</v>
      </c>
      <c r="I32" s="2">
        <v>7588.0410000000002</v>
      </c>
      <c r="J32" s="2">
        <f t="shared" si="0"/>
        <v>1365.8473800000002</v>
      </c>
      <c r="K32" s="2">
        <f>K31</f>
        <v>1593.1079999999999</v>
      </c>
      <c r="L32" s="2">
        <f t="shared" si="1"/>
        <v>9181.1489999999994</v>
      </c>
      <c r="P32" s="2">
        <f t="shared" si="3"/>
        <v>19.984679999999972</v>
      </c>
      <c r="Q32" s="2">
        <f t="shared" si="4"/>
        <v>19.984679999999972</v>
      </c>
      <c r="R32" s="2">
        <f t="shared" si="5"/>
        <v>60.039909999999921</v>
      </c>
      <c r="S32" s="2" t="s">
        <v>2</v>
      </c>
      <c r="U32" s="2" t="s">
        <v>34</v>
      </c>
    </row>
    <row r="33" spans="1:21">
      <c r="B33" s="2" t="s">
        <v>14</v>
      </c>
      <c r="C33" s="2">
        <v>7702.848</v>
      </c>
      <c r="D33" s="2">
        <v>17</v>
      </c>
      <c r="E33" s="2" t="e">
        <f>NA()</f>
        <v>#N/A</v>
      </c>
      <c r="F33" s="2" t="e">
        <f>NA()</f>
        <v>#N/A</v>
      </c>
      <c r="I33" s="2">
        <v>7702.848</v>
      </c>
      <c r="J33" s="2">
        <f t="shared" si="0"/>
        <v>1309.48416</v>
      </c>
      <c r="K33" s="2">
        <f>K32</f>
        <v>1593.1079999999999</v>
      </c>
      <c r="L33" s="2">
        <f t="shared" si="1"/>
        <v>9295.9560000000001</v>
      </c>
      <c r="P33" s="2">
        <f t="shared" si="3"/>
        <v>19.51719000000012</v>
      </c>
      <c r="Q33" s="2">
        <f t="shared" si="4"/>
        <v>19.517189999999964</v>
      </c>
      <c r="R33" s="2">
        <f t="shared" si="5"/>
        <v>66.892989999999926</v>
      </c>
      <c r="S33" s="2" t="s">
        <v>1</v>
      </c>
      <c r="U33" s="2" t="s">
        <v>33</v>
      </c>
    </row>
    <row r="34" spans="1:21">
      <c r="A34" s="2" t="s">
        <v>13</v>
      </c>
      <c r="B34" s="3" t="s">
        <v>10</v>
      </c>
      <c r="C34" s="2">
        <v>7823.66</v>
      </c>
      <c r="D34" s="2">
        <v>17</v>
      </c>
      <c r="E34" s="2" t="e">
        <f>NA()</f>
        <v>#N/A</v>
      </c>
      <c r="F34" s="2" t="e">
        <f>NA()</f>
        <v>#N/A</v>
      </c>
      <c r="I34" s="2">
        <v>7823.66</v>
      </c>
      <c r="J34" s="2">
        <f t="shared" si="0"/>
        <v>1330.0222000000001</v>
      </c>
      <c r="K34" s="2">
        <f>K33+3.515</f>
        <v>1596.623</v>
      </c>
      <c r="L34" s="2">
        <f t="shared" si="1"/>
        <v>9420.2829999999994</v>
      </c>
      <c r="P34" s="2">
        <f t="shared" si="3"/>
        <v>21.135589999999883</v>
      </c>
      <c r="Q34" s="2">
        <f t="shared" si="4"/>
        <v>20.538039999999981</v>
      </c>
      <c r="R34" s="2">
        <f t="shared" si="5"/>
        <v>70.964350000000039</v>
      </c>
      <c r="S34" s="2" t="s">
        <v>0</v>
      </c>
      <c r="U34" s="2" t="s">
        <v>32</v>
      </c>
    </row>
    <row r="35" spans="1:21">
      <c r="B35" s="3" t="s">
        <v>9</v>
      </c>
      <c r="C35" s="2">
        <v>7991.3959999999997</v>
      </c>
      <c r="D35" s="2">
        <v>16</v>
      </c>
      <c r="E35" s="2" t="e">
        <f>NA()</f>
        <v>#N/A</v>
      </c>
      <c r="F35" s="2" t="e">
        <f>NA()</f>
        <v>#N/A</v>
      </c>
      <c r="I35" s="2">
        <v>7991.3959999999997</v>
      </c>
      <c r="J35" s="2">
        <f t="shared" si="0"/>
        <v>1278.62336</v>
      </c>
      <c r="K35" s="2">
        <f>K34</f>
        <v>1596.623</v>
      </c>
      <c r="L35" s="2">
        <f t="shared" si="1"/>
        <v>9588.0190000000002</v>
      </c>
      <c r="P35" s="2">
        <f t="shared" si="3"/>
        <v>26.837760000000127</v>
      </c>
      <c r="Q35" s="2">
        <f t="shared" si="4"/>
        <v>26.837759999999982</v>
      </c>
      <c r="R35" s="2">
        <f t="shared" si="5"/>
        <v>73.604269999999985</v>
      </c>
      <c r="S35" s="2" t="s">
        <v>18</v>
      </c>
      <c r="U35" s="2" t="s">
        <v>31</v>
      </c>
    </row>
    <row r="36" spans="1:21">
      <c r="B36" s="2" t="s">
        <v>12</v>
      </c>
      <c r="C36" s="2">
        <v>8148.6530000000002</v>
      </c>
      <c r="D36" s="2">
        <v>15</v>
      </c>
      <c r="E36" s="2" t="e">
        <f>NA()</f>
        <v>#N/A</v>
      </c>
      <c r="F36" s="2" t="e">
        <f>NA()</f>
        <v>#N/A</v>
      </c>
      <c r="I36" s="2">
        <v>8148.6530000000002</v>
      </c>
      <c r="J36" s="2">
        <f t="shared" ref="J36:J67" si="6">I36*D36/100</f>
        <v>1222.2979499999999</v>
      </c>
      <c r="K36" s="2">
        <f>K35</f>
        <v>1596.623</v>
      </c>
      <c r="L36" s="2">
        <f t="shared" ref="L36:L67" si="7">I36+K36</f>
        <v>9745.2759999999998</v>
      </c>
      <c r="P36" s="2">
        <f t="shared" si="3"/>
        <v>23.588549999999941</v>
      </c>
      <c r="Q36" s="2">
        <f t="shared" si="4"/>
        <v>23.588550000000076</v>
      </c>
      <c r="R36" s="2">
        <f t="shared" si="5"/>
        <v>76.201190000000096</v>
      </c>
      <c r="S36" s="2">
        <v>1797</v>
      </c>
      <c r="U36" s="2" t="s">
        <v>30</v>
      </c>
    </row>
    <row r="37" spans="1:21">
      <c r="A37" s="2" t="s">
        <v>11</v>
      </c>
      <c r="B37" s="3" t="s">
        <v>10</v>
      </c>
      <c r="C37" s="2">
        <v>8326.9449999999997</v>
      </c>
      <c r="D37" s="2">
        <v>13</v>
      </c>
      <c r="E37" s="2" t="e">
        <f>NA()</f>
        <v>#N/A</v>
      </c>
      <c r="F37" s="2" t="e">
        <f>NA()</f>
        <v>#N/A</v>
      </c>
      <c r="I37" s="2">
        <v>8326.9449999999997</v>
      </c>
      <c r="J37" s="2">
        <f t="shared" si="6"/>
        <v>1082.5028500000001</v>
      </c>
      <c r="K37" s="2">
        <f>K36</f>
        <v>1596.623</v>
      </c>
      <c r="L37" s="2">
        <f t="shared" si="7"/>
        <v>9923.5679999999993</v>
      </c>
      <c r="P37" s="2">
        <f t="shared" ref="P37:P73" si="8">(L37-L36)*D37/100</f>
        <v>23.177959999999931</v>
      </c>
      <c r="Q37" s="2">
        <f t="shared" ref="Q37:Q72" si="9">(I37-I36)*D37/100</f>
        <v>23.177959999999931</v>
      </c>
      <c r="R37" s="2">
        <f t="shared" si="5"/>
        <v>89.052779999999956</v>
      </c>
      <c r="S37" s="2" t="s">
        <v>15</v>
      </c>
      <c r="U37" s="2" t="s">
        <v>29</v>
      </c>
    </row>
    <row r="38" spans="1:21">
      <c r="B38" s="3" t="s">
        <v>9</v>
      </c>
      <c r="C38" s="2">
        <v>8572.2340000000004</v>
      </c>
      <c r="D38" s="2">
        <v>12</v>
      </c>
      <c r="E38" s="2" t="e">
        <f>NA()</f>
        <v>#N/A</v>
      </c>
      <c r="F38" s="2" t="e">
        <f>NA()</f>
        <v>#N/A</v>
      </c>
      <c r="I38" s="2">
        <v>8572.2340000000004</v>
      </c>
      <c r="J38" s="2">
        <f t="shared" si="6"/>
        <v>1028.6680800000001</v>
      </c>
      <c r="K38" s="2">
        <f>K37+15</f>
        <v>1611.623</v>
      </c>
      <c r="L38" s="2">
        <f t="shared" si="7"/>
        <v>10183.857</v>
      </c>
      <c r="P38" s="2">
        <f t="shared" si="8"/>
        <v>31.234680000000079</v>
      </c>
      <c r="Q38" s="2">
        <f t="shared" si="9"/>
        <v>29.434680000000082</v>
      </c>
      <c r="R38" s="2">
        <f t="shared" si="5"/>
        <v>105.87482000000001</v>
      </c>
      <c r="S38" s="2" t="s">
        <v>13</v>
      </c>
      <c r="U38" s="2" t="s">
        <v>28</v>
      </c>
    </row>
    <row r="39" spans="1:21">
      <c r="B39" s="2" t="s">
        <v>8</v>
      </c>
      <c r="C39" s="2">
        <v>8903.5079999999998</v>
      </c>
      <c r="D39" s="2">
        <v>11</v>
      </c>
      <c r="E39" s="2" t="e">
        <f>NA()</f>
        <v>#N/A</v>
      </c>
      <c r="F39" s="2" t="e">
        <f>NA()</f>
        <v>#N/A</v>
      </c>
      <c r="I39" s="2">
        <v>8903.5079999999998</v>
      </c>
      <c r="J39" s="2">
        <f t="shared" si="6"/>
        <v>979.38588000000004</v>
      </c>
      <c r="K39" s="2">
        <f>K38+10</f>
        <v>1621.623</v>
      </c>
      <c r="L39" s="2">
        <f t="shared" si="7"/>
        <v>10525.130999999999</v>
      </c>
      <c r="P39" s="2">
        <f t="shared" si="8"/>
        <v>37.540139999999937</v>
      </c>
      <c r="Q39" s="2">
        <f t="shared" si="9"/>
        <v>36.440139999999936</v>
      </c>
      <c r="R39" s="2">
        <f t="shared" ref="R39:R70" si="10">SUM(Q39:Q41)</f>
        <v>107.87661999999995</v>
      </c>
      <c r="S39" s="2" t="s">
        <v>11</v>
      </c>
      <c r="U39" s="2" t="s">
        <v>27</v>
      </c>
    </row>
    <row r="40" spans="1:21">
      <c r="A40" s="2" t="s">
        <v>7</v>
      </c>
      <c r="B40" s="3" t="s">
        <v>10</v>
      </c>
      <c r="C40" s="2">
        <v>9303.5079999999998</v>
      </c>
      <c r="D40" s="2">
        <v>10</v>
      </c>
      <c r="E40" s="2" t="e">
        <f>NA()</f>
        <v>#N/A</v>
      </c>
      <c r="F40" s="2" t="e">
        <f>NA()</f>
        <v>#N/A</v>
      </c>
      <c r="I40" s="2">
        <v>9303.5079999999998</v>
      </c>
      <c r="J40" s="2">
        <f t="shared" si="6"/>
        <v>930.35080000000005</v>
      </c>
      <c r="K40" s="2">
        <f>K39+15</f>
        <v>1636.623</v>
      </c>
      <c r="L40" s="2">
        <f t="shared" si="7"/>
        <v>10940.130999999999</v>
      </c>
      <c r="P40" s="2">
        <f t="shared" si="8"/>
        <v>41.5</v>
      </c>
      <c r="Q40" s="2">
        <f t="shared" si="9"/>
        <v>40</v>
      </c>
      <c r="R40" s="2">
        <f t="shared" si="10"/>
        <v>96.558500000000052</v>
      </c>
      <c r="S40" s="2" t="s">
        <v>7</v>
      </c>
    </row>
    <row r="41" spans="1:21">
      <c r="B41" s="3" t="s">
        <v>9</v>
      </c>
      <c r="C41" s="2">
        <v>9696.4639999999999</v>
      </c>
      <c r="D41" s="2">
        <v>8</v>
      </c>
      <c r="E41" s="2" t="e">
        <f>NA()</f>
        <v>#N/A</v>
      </c>
      <c r="F41" s="2" t="e">
        <f>NA()</f>
        <v>#N/A</v>
      </c>
      <c r="I41" s="2">
        <v>9696.4639999999999</v>
      </c>
      <c r="J41" s="2">
        <f t="shared" si="6"/>
        <v>775.71712000000002</v>
      </c>
      <c r="K41" s="2">
        <f>K40+14</f>
        <v>1650.623</v>
      </c>
      <c r="L41" s="2">
        <f t="shared" si="7"/>
        <v>11347.087</v>
      </c>
      <c r="P41" s="2">
        <f t="shared" si="8"/>
        <v>32.556480000000008</v>
      </c>
      <c r="Q41" s="2">
        <f t="shared" si="9"/>
        <v>31.43648000000001</v>
      </c>
      <c r="R41" s="2">
        <f t="shared" si="10"/>
        <v>77.400099999999966</v>
      </c>
    </row>
    <row r="42" spans="1:21">
      <c r="B42" s="2" t="s">
        <v>25</v>
      </c>
      <c r="C42" s="2">
        <v>10055.35</v>
      </c>
      <c r="D42" s="2">
        <v>7</v>
      </c>
      <c r="E42" s="2" t="e">
        <f>NA()</f>
        <v>#N/A</v>
      </c>
      <c r="F42" s="2" t="e">
        <f>NA()</f>
        <v>#N/A</v>
      </c>
      <c r="I42" s="2">
        <v>10055.35</v>
      </c>
      <c r="J42" s="2">
        <f t="shared" si="6"/>
        <v>703.87450000000001</v>
      </c>
      <c r="K42" s="2">
        <f>K41+16</f>
        <v>1666.623</v>
      </c>
      <c r="L42" s="2">
        <f t="shared" si="7"/>
        <v>11721.973</v>
      </c>
      <c r="P42" s="2">
        <f t="shared" si="8"/>
        <v>26.242020000000029</v>
      </c>
      <c r="Q42" s="2">
        <f t="shared" si="9"/>
        <v>25.122020000000031</v>
      </c>
      <c r="R42" s="2">
        <f t="shared" si="10"/>
        <v>66.744019999999963</v>
      </c>
    </row>
    <row r="43" spans="1:21">
      <c r="A43" s="2" t="s">
        <v>5</v>
      </c>
      <c r="B43" s="3" t="s">
        <v>10</v>
      </c>
      <c r="C43" s="2">
        <v>10402.709999999999</v>
      </c>
      <c r="D43" s="2">
        <v>6</v>
      </c>
      <c r="E43" s="2" t="e">
        <f>NA()</f>
        <v>#N/A</v>
      </c>
      <c r="F43" s="2" t="e">
        <f>NA()</f>
        <v>#N/A</v>
      </c>
      <c r="I43" s="2">
        <v>10402.709999999999</v>
      </c>
      <c r="J43" s="2">
        <f t="shared" si="6"/>
        <v>624.1626</v>
      </c>
      <c r="K43" s="2">
        <f>K42+15</f>
        <v>1681.623</v>
      </c>
      <c r="L43" s="2">
        <f t="shared" si="7"/>
        <v>12084.332999999999</v>
      </c>
      <c r="P43" s="2">
        <f t="shared" si="8"/>
        <v>21.741599999999927</v>
      </c>
      <c r="Q43" s="2">
        <f t="shared" si="9"/>
        <v>20.841599999999925</v>
      </c>
      <c r="R43" s="2">
        <f t="shared" si="10"/>
        <v>58.580999999999918</v>
      </c>
    </row>
    <row r="44" spans="1:21">
      <c r="B44" s="3" t="s">
        <v>9</v>
      </c>
      <c r="C44" s="2">
        <v>10922.22</v>
      </c>
      <c r="D44" s="2">
        <v>4</v>
      </c>
      <c r="E44" s="2" t="e">
        <f>NA()</f>
        <v>#N/A</v>
      </c>
      <c r="F44" s="2" t="e">
        <f>NA()</f>
        <v>#N/A</v>
      </c>
      <c r="I44" s="2">
        <v>10922.22</v>
      </c>
      <c r="J44" s="2">
        <f t="shared" si="6"/>
        <v>436.88879999999995</v>
      </c>
      <c r="K44" s="2">
        <f>K43+15</f>
        <v>1696.623</v>
      </c>
      <c r="L44" s="2">
        <f t="shared" si="7"/>
        <v>12618.842999999999</v>
      </c>
      <c r="P44" s="2">
        <f t="shared" si="8"/>
        <v>21.380400000000009</v>
      </c>
      <c r="Q44" s="2">
        <f t="shared" si="9"/>
        <v>20.780400000000007</v>
      </c>
      <c r="R44" s="2">
        <f t="shared" si="10"/>
        <v>71.46820000000001</v>
      </c>
    </row>
    <row r="45" spans="1:21">
      <c r="B45" s="2" t="s">
        <v>24</v>
      </c>
      <c r="C45" s="2">
        <v>11374.46</v>
      </c>
      <c r="D45" s="2">
        <v>3.75</v>
      </c>
      <c r="E45" s="2" t="e">
        <f>NA()</f>
        <v>#N/A</v>
      </c>
      <c r="F45" s="2" t="e">
        <f>NA()</f>
        <v>#N/A</v>
      </c>
      <c r="I45" s="2">
        <v>11374.46</v>
      </c>
      <c r="J45" s="2">
        <f t="shared" si="6"/>
        <v>426.54224999999997</v>
      </c>
      <c r="K45" s="2">
        <f>K44+25</f>
        <v>1721.623</v>
      </c>
      <c r="L45" s="2">
        <f t="shared" si="7"/>
        <v>13096.082999999999</v>
      </c>
      <c r="P45" s="2">
        <f t="shared" si="8"/>
        <v>17.896499999999993</v>
      </c>
      <c r="Q45" s="2">
        <f t="shared" si="9"/>
        <v>16.958999999999993</v>
      </c>
      <c r="R45" s="2">
        <f t="shared" si="10"/>
        <v>76.947174999999987</v>
      </c>
    </row>
    <row r="46" spans="1:21">
      <c r="A46" s="2" t="s">
        <v>4</v>
      </c>
      <c r="B46" s="3" t="s">
        <v>10</v>
      </c>
      <c r="C46" s="2">
        <v>12338.14</v>
      </c>
      <c r="D46" s="2">
        <v>3.5</v>
      </c>
      <c r="E46" s="2" t="e">
        <f>NA()</f>
        <v>#N/A</v>
      </c>
      <c r="F46" s="2" t="e">
        <f>NA()</f>
        <v>#N/A</v>
      </c>
      <c r="I46" s="2">
        <v>12338.14</v>
      </c>
      <c r="J46" s="2">
        <f t="shared" si="6"/>
        <v>431.8349</v>
      </c>
      <c r="K46" s="2">
        <f>K45+20</f>
        <v>1741.623</v>
      </c>
      <c r="L46" s="2">
        <f t="shared" si="7"/>
        <v>14079.762999999999</v>
      </c>
      <c r="P46" s="2">
        <f t="shared" si="8"/>
        <v>34.42880000000001</v>
      </c>
      <c r="Q46" s="2">
        <f t="shared" si="9"/>
        <v>33.728800000000007</v>
      </c>
      <c r="R46" s="2">
        <f t="shared" si="10"/>
        <v>87.436575000000005</v>
      </c>
    </row>
    <row r="47" spans="1:21">
      <c r="B47" s="3" t="s">
        <v>9</v>
      </c>
      <c r="C47" s="2">
        <v>13038.39</v>
      </c>
      <c r="D47" s="2">
        <v>3.75</v>
      </c>
      <c r="E47" s="2" t="e">
        <f>NA()</f>
        <v>#N/A</v>
      </c>
      <c r="F47" s="2" t="e">
        <f>NA()</f>
        <v>#N/A</v>
      </c>
      <c r="I47" s="2">
        <v>13038.39</v>
      </c>
      <c r="J47" s="2">
        <f t="shared" si="6"/>
        <v>488.93962499999992</v>
      </c>
      <c r="K47" s="2">
        <f>K46+23</f>
        <v>1764.623</v>
      </c>
      <c r="L47" s="2">
        <f t="shared" si="7"/>
        <v>14803.012999999999</v>
      </c>
      <c r="P47" s="2">
        <f t="shared" si="8"/>
        <v>27.121874999999999</v>
      </c>
      <c r="Q47" s="2">
        <f t="shared" si="9"/>
        <v>26.259374999999999</v>
      </c>
      <c r="R47" s="2">
        <f t="shared" si="10"/>
        <v>76.974525000000042</v>
      </c>
    </row>
    <row r="48" spans="1:21">
      <c r="B48" s="2" t="s">
        <v>23</v>
      </c>
      <c r="C48" s="2">
        <v>13822.63</v>
      </c>
      <c r="D48" s="2">
        <v>3.5</v>
      </c>
      <c r="E48" s="2" t="e">
        <f>NA()</f>
        <v>#N/A</v>
      </c>
      <c r="F48" s="2" t="e">
        <f>NA()</f>
        <v>#N/A</v>
      </c>
      <c r="I48" s="2">
        <v>13822.63</v>
      </c>
      <c r="J48" s="2">
        <f t="shared" si="6"/>
        <v>483.79204999999996</v>
      </c>
      <c r="K48" s="2">
        <f>K47+31</f>
        <v>1795.623</v>
      </c>
      <c r="L48" s="2">
        <f t="shared" si="7"/>
        <v>15618.252999999999</v>
      </c>
      <c r="P48" s="2">
        <f t="shared" si="8"/>
        <v>28.533399999999993</v>
      </c>
      <c r="Q48" s="2">
        <f t="shared" si="9"/>
        <v>27.448399999999992</v>
      </c>
      <c r="R48" s="2">
        <f t="shared" si="10"/>
        <v>65.94165000000001</v>
      </c>
    </row>
    <row r="49" spans="1:18">
      <c r="A49" s="2" t="s">
        <v>3</v>
      </c>
      <c r="B49" s="3" t="s">
        <v>10</v>
      </c>
      <c r="C49" s="2">
        <v>14538.53</v>
      </c>
      <c r="D49" s="2">
        <v>3.25</v>
      </c>
      <c r="E49" s="2" t="e">
        <f>NA()</f>
        <v>#N/A</v>
      </c>
      <c r="F49" s="2" t="e">
        <f>NA()</f>
        <v>#N/A</v>
      </c>
      <c r="I49" s="2">
        <v>14538.53</v>
      </c>
      <c r="J49" s="2">
        <f t="shared" si="6"/>
        <v>472.50222500000001</v>
      </c>
      <c r="K49" s="2">
        <f>K48+57</f>
        <v>1852.623</v>
      </c>
      <c r="L49" s="2">
        <f t="shared" si="7"/>
        <v>16391.153000000002</v>
      </c>
      <c r="P49" s="2">
        <f t="shared" si="8"/>
        <v>25.119250000000108</v>
      </c>
      <c r="Q49" s="2">
        <f t="shared" si="9"/>
        <v>23.266750000000048</v>
      </c>
      <c r="R49" s="2">
        <f t="shared" si="10"/>
        <v>50.140875000000008</v>
      </c>
    </row>
    <row r="50" spans="1:18">
      <c r="B50" s="3" t="s">
        <v>9</v>
      </c>
      <c r="C50" s="2">
        <v>15046.08</v>
      </c>
      <c r="D50" s="2">
        <v>3</v>
      </c>
      <c r="E50" s="2" t="e">
        <f>NA()</f>
        <v>#N/A</v>
      </c>
      <c r="F50" s="2" t="e">
        <f>NA()</f>
        <v>#N/A</v>
      </c>
      <c r="I50" s="2">
        <v>15046.08</v>
      </c>
      <c r="J50" s="2">
        <f t="shared" si="6"/>
        <v>451.38239999999996</v>
      </c>
      <c r="K50" s="2">
        <f>K49+33</f>
        <v>1885.623</v>
      </c>
      <c r="L50" s="2">
        <f t="shared" si="7"/>
        <v>16931.703000000001</v>
      </c>
      <c r="P50" s="2">
        <f t="shared" si="8"/>
        <v>16.216499999999979</v>
      </c>
      <c r="Q50" s="2">
        <f t="shared" si="9"/>
        <v>15.226499999999978</v>
      </c>
      <c r="R50" s="2">
        <f t="shared" si="10"/>
        <v>42.01287499999998</v>
      </c>
    </row>
    <row r="51" spans="1:18">
      <c r="B51" s="2" t="s">
        <v>22</v>
      </c>
      <c r="C51" s="2">
        <v>15469.63</v>
      </c>
      <c r="D51" s="2">
        <v>2.75</v>
      </c>
      <c r="E51" s="2" t="e">
        <f>NA()</f>
        <v>#N/A</v>
      </c>
      <c r="F51" s="2" t="e">
        <f>NA()</f>
        <v>#N/A</v>
      </c>
      <c r="I51" s="2">
        <v>15469.63</v>
      </c>
      <c r="J51" s="2">
        <f t="shared" si="6"/>
        <v>425.41482500000001</v>
      </c>
      <c r="K51" s="2">
        <f>K50+44</f>
        <v>1929.623</v>
      </c>
      <c r="L51" s="2">
        <f t="shared" si="7"/>
        <v>17399.253000000001</v>
      </c>
      <c r="P51" s="2">
        <f t="shared" si="8"/>
        <v>12.857624999999979</v>
      </c>
      <c r="Q51" s="2">
        <f t="shared" si="9"/>
        <v>11.64762499999998</v>
      </c>
      <c r="R51" s="2">
        <f t="shared" si="10"/>
        <v>39.329000000000022</v>
      </c>
    </row>
    <row r="52" spans="1:18">
      <c r="A52" s="2" t="s">
        <v>2</v>
      </c>
      <c r="B52" s="3" t="s">
        <v>10</v>
      </c>
      <c r="C52" s="2">
        <v>16075.18</v>
      </c>
      <c r="D52" s="2">
        <v>2.5</v>
      </c>
      <c r="E52" s="2" t="e">
        <f>NA()</f>
        <v>#N/A</v>
      </c>
      <c r="F52" s="2" t="e">
        <f>NA()</f>
        <v>#N/A</v>
      </c>
      <c r="I52" s="2">
        <v>16075.18</v>
      </c>
      <c r="J52" s="2">
        <f t="shared" si="6"/>
        <v>401.87949999999995</v>
      </c>
      <c r="K52" s="2">
        <f>K51+29</f>
        <v>1958.623</v>
      </c>
      <c r="L52" s="2">
        <f t="shared" si="7"/>
        <v>18033.803</v>
      </c>
      <c r="P52" s="2">
        <f t="shared" si="8"/>
        <v>15.863749999999982</v>
      </c>
      <c r="Q52" s="2">
        <f t="shared" si="9"/>
        <v>15.138750000000027</v>
      </c>
      <c r="R52" s="2">
        <f t="shared" si="10"/>
        <v>40.85064375000001</v>
      </c>
    </row>
    <row r="53" spans="1:18">
      <c r="B53" s="3" t="s">
        <v>9</v>
      </c>
      <c r="C53" s="2">
        <v>16632.63</v>
      </c>
      <c r="D53" s="2">
        <v>2.25</v>
      </c>
      <c r="E53" s="2" t="e">
        <f>NA()</f>
        <v>#N/A</v>
      </c>
      <c r="F53" s="2" t="e">
        <f>NA()</f>
        <v>#N/A</v>
      </c>
      <c r="I53" s="2">
        <v>16632.63</v>
      </c>
      <c r="J53" s="2">
        <f t="shared" si="6"/>
        <v>374.23417500000005</v>
      </c>
      <c r="K53" s="2">
        <f>K52+24</f>
        <v>1982.623</v>
      </c>
      <c r="L53" s="2">
        <f t="shared" si="7"/>
        <v>18615.253000000001</v>
      </c>
      <c r="P53" s="2">
        <f t="shared" si="8"/>
        <v>13.082625000000016</v>
      </c>
      <c r="Q53" s="2">
        <f t="shared" si="9"/>
        <v>12.542625000000017</v>
      </c>
      <c r="R53" s="2">
        <f t="shared" si="10"/>
        <v>37.647818749999999</v>
      </c>
    </row>
    <row r="54" spans="1:18">
      <c r="B54" s="2" t="s">
        <v>26</v>
      </c>
      <c r="C54" s="2">
        <v>17271.14</v>
      </c>
      <c r="D54" s="2">
        <v>2.0625</v>
      </c>
      <c r="E54" s="2" t="e">
        <f>NA()</f>
        <v>#N/A</v>
      </c>
      <c r="F54" s="2" t="e">
        <f>NA()</f>
        <v>#N/A</v>
      </c>
      <c r="I54" s="2">
        <v>17271.14</v>
      </c>
      <c r="J54" s="2">
        <f t="shared" si="6"/>
        <v>356.2172625</v>
      </c>
      <c r="K54" s="2">
        <f>K53+42+14</f>
        <v>2038.623</v>
      </c>
      <c r="L54" s="2">
        <f t="shared" si="7"/>
        <v>19309.762999999999</v>
      </c>
      <c r="P54" s="2">
        <f t="shared" si="8"/>
        <v>14.324268749999966</v>
      </c>
      <c r="Q54" s="2">
        <f t="shared" si="9"/>
        <v>13.169268749999967</v>
      </c>
      <c r="R54" s="2">
        <f t="shared" si="10"/>
        <v>36.092598028099978</v>
      </c>
    </row>
    <row r="55" spans="1:18">
      <c r="A55" s="2" t="s">
        <v>1</v>
      </c>
      <c r="B55" s="3" t="s">
        <v>10</v>
      </c>
      <c r="C55" s="2">
        <v>17879.34</v>
      </c>
      <c r="D55" s="2">
        <v>1.9624999999999999</v>
      </c>
      <c r="E55" s="2" t="e">
        <f>NA()</f>
        <v>#N/A</v>
      </c>
      <c r="F55" s="2" t="e">
        <f>NA()</f>
        <v>#N/A</v>
      </c>
      <c r="I55" s="2">
        <v>17879.34</v>
      </c>
      <c r="J55" s="2">
        <f t="shared" si="6"/>
        <v>350.8820475</v>
      </c>
      <c r="K55" s="2">
        <f>K54+44</f>
        <v>2082.623</v>
      </c>
      <c r="L55" s="2">
        <f t="shared" si="7"/>
        <v>19961.963</v>
      </c>
      <c r="P55" s="2">
        <f t="shared" si="8"/>
        <v>12.799425000000015</v>
      </c>
      <c r="Q55" s="2">
        <f t="shared" si="9"/>
        <v>11.935925000000013</v>
      </c>
      <c r="R55" s="2">
        <f t="shared" si="10"/>
        <v>32.560471778099995</v>
      </c>
    </row>
    <row r="56" spans="1:18">
      <c r="B56" s="3" t="s">
        <v>9</v>
      </c>
      <c r="C56" s="2">
        <v>18595.91</v>
      </c>
      <c r="D56" s="2">
        <v>1.5333330000000001</v>
      </c>
      <c r="E56" s="2" t="e">
        <f>NA()</f>
        <v>#N/A</v>
      </c>
      <c r="F56" s="2" t="e">
        <f>NA()</f>
        <v>#N/A</v>
      </c>
      <c r="I56" s="2">
        <v>18595.91</v>
      </c>
      <c r="J56" s="2">
        <f t="shared" si="6"/>
        <v>285.13722468030005</v>
      </c>
      <c r="K56" s="2">
        <f>K55+108</f>
        <v>2190.623</v>
      </c>
      <c r="L56" s="2">
        <f t="shared" si="7"/>
        <v>20786.532999999999</v>
      </c>
      <c r="P56" s="2">
        <f t="shared" si="8"/>
        <v>12.643403918099995</v>
      </c>
      <c r="Q56" s="2">
        <f t="shared" si="9"/>
        <v>10.987404278099996</v>
      </c>
      <c r="R56" s="2">
        <f t="shared" si="10"/>
        <v>28.992521778100006</v>
      </c>
    </row>
    <row r="57" spans="1:18">
      <c r="B57" s="2" t="s">
        <v>20</v>
      </c>
      <c r="C57" s="2">
        <v>19462.169999999998</v>
      </c>
      <c r="D57" s="2">
        <v>1.1125</v>
      </c>
      <c r="E57" s="2" t="e">
        <f>NA()</f>
        <v>#N/A</v>
      </c>
      <c r="F57" s="2" t="e">
        <f>NA()</f>
        <v>#N/A</v>
      </c>
      <c r="I57" s="2">
        <v>19462.169999999998</v>
      </c>
      <c r="J57" s="2">
        <f t="shared" si="6"/>
        <v>216.51664124999999</v>
      </c>
      <c r="K57" s="2">
        <f>K56+70</f>
        <v>2260.623</v>
      </c>
      <c r="L57" s="2">
        <f t="shared" si="7"/>
        <v>21722.792999999998</v>
      </c>
      <c r="P57" s="2">
        <f t="shared" si="8"/>
        <v>10.415892499999982</v>
      </c>
      <c r="Q57" s="2">
        <f t="shared" si="9"/>
        <v>9.6371424999999835</v>
      </c>
      <c r="R57" s="2">
        <f t="shared" si="10"/>
        <v>25.714042499999984</v>
      </c>
    </row>
    <row r="58" spans="1:18">
      <c r="A58" s="2" t="s">
        <v>0</v>
      </c>
      <c r="B58" s="3" t="s">
        <v>10</v>
      </c>
      <c r="C58" s="2">
        <v>20476.47</v>
      </c>
      <c r="D58" s="2">
        <v>0.82499999999999996</v>
      </c>
      <c r="E58" s="2" t="e">
        <f>NA()</f>
        <v>#N/A</v>
      </c>
      <c r="F58" s="2" t="e">
        <f>NA()</f>
        <v>#N/A</v>
      </c>
      <c r="I58" s="2">
        <v>20476.47</v>
      </c>
      <c r="J58" s="2">
        <f t="shared" si="6"/>
        <v>168.93087749999998</v>
      </c>
      <c r="K58" s="2">
        <f>K57+46</f>
        <v>2306.623</v>
      </c>
      <c r="L58" s="2">
        <f t="shared" si="7"/>
        <v>22783.093000000001</v>
      </c>
      <c r="P58" s="2">
        <f t="shared" si="8"/>
        <v>8.7474750000000228</v>
      </c>
      <c r="Q58" s="2">
        <f t="shared" si="9"/>
        <v>8.3679750000000244</v>
      </c>
      <c r="R58" s="2">
        <f t="shared" si="10"/>
        <v>22.492860000000022</v>
      </c>
    </row>
    <row r="59" spans="1:18">
      <c r="B59" s="3" t="s">
        <v>9</v>
      </c>
      <c r="C59" s="2">
        <v>21471.17</v>
      </c>
      <c r="D59" s="2">
        <v>0.77500000000000002</v>
      </c>
      <c r="E59" s="2" t="e">
        <f>NA()</f>
        <v>#N/A</v>
      </c>
      <c r="F59" s="2" t="e">
        <f>NA()</f>
        <v>#N/A</v>
      </c>
      <c r="I59" s="2">
        <v>21471.17</v>
      </c>
      <c r="J59" s="2">
        <f t="shared" si="6"/>
        <v>166.40156749999997</v>
      </c>
      <c r="K59" s="2">
        <f>K58+80</f>
        <v>2386.623</v>
      </c>
      <c r="L59" s="2">
        <f t="shared" si="7"/>
        <v>23857.792999999998</v>
      </c>
      <c r="P59" s="2">
        <f t="shared" si="8"/>
        <v>8.3289249999999768</v>
      </c>
      <c r="Q59" s="2">
        <f t="shared" si="9"/>
        <v>7.7089249999999776</v>
      </c>
      <c r="R59" s="2">
        <f t="shared" si="10"/>
        <v>20.715585793749987</v>
      </c>
    </row>
    <row r="60" spans="1:18">
      <c r="B60" s="2" t="s">
        <v>19</v>
      </c>
      <c r="C60" s="2">
        <v>22356.13</v>
      </c>
      <c r="D60" s="2">
        <v>0.72499999999999998</v>
      </c>
      <c r="E60" s="2" t="e">
        <f>NA()</f>
        <v>#N/A</v>
      </c>
      <c r="F60" s="2" t="e">
        <f>NA()</f>
        <v>#N/A</v>
      </c>
      <c r="I60" s="2">
        <v>22356.13</v>
      </c>
      <c r="J60" s="2">
        <f t="shared" si="6"/>
        <v>162.0819425</v>
      </c>
      <c r="K60" s="2">
        <f>K59+87</f>
        <v>2473.623</v>
      </c>
      <c r="L60" s="2">
        <f t="shared" si="7"/>
        <v>24829.753000000001</v>
      </c>
      <c r="P60" s="2">
        <f t="shared" si="8"/>
        <v>7.0467100000000196</v>
      </c>
      <c r="Q60" s="2">
        <f t="shared" si="9"/>
        <v>6.4159600000000196</v>
      </c>
      <c r="R60" s="2">
        <f t="shared" si="10"/>
        <v>18.115077668750011</v>
      </c>
    </row>
    <row r="61" spans="1:18">
      <c r="A61" s="2" t="s">
        <v>18</v>
      </c>
      <c r="B61" s="3" t="s">
        <v>10</v>
      </c>
      <c r="C61" s="2">
        <v>23339.71</v>
      </c>
      <c r="D61" s="2">
        <v>0.625</v>
      </c>
      <c r="E61" s="2" t="e">
        <f>NA()</f>
        <v>#N/A</v>
      </c>
      <c r="F61" s="2" t="e">
        <f>NA()</f>
        <v>#N/A</v>
      </c>
      <c r="G61" s="2">
        <v>3594</v>
      </c>
      <c r="H61" s="2">
        <v>3664.932127</v>
      </c>
      <c r="I61" s="2">
        <f t="shared" ref="I61:I73" si="11">C61+H61-G61</f>
        <v>23410.642126999999</v>
      </c>
      <c r="J61" s="2">
        <f t="shared" si="6"/>
        <v>146.31651329375001</v>
      </c>
      <c r="K61" s="2">
        <f>K60+75</f>
        <v>2548.623</v>
      </c>
      <c r="L61" s="2">
        <f t="shared" si="7"/>
        <v>25959.265126999999</v>
      </c>
      <c r="P61" s="2">
        <f t="shared" si="8"/>
        <v>7.0594507937499884</v>
      </c>
      <c r="Q61" s="2">
        <f t="shared" si="9"/>
        <v>6.5907007937499884</v>
      </c>
      <c r="R61" s="2">
        <f t="shared" si="10"/>
        <v>17.109657717999994</v>
      </c>
    </row>
    <row r="62" spans="1:18">
      <c r="B62" s="3" t="s">
        <v>9</v>
      </c>
      <c r="C62" s="2">
        <v>24210.79</v>
      </c>
      <c r="D62" s="2">
        <v>0.5625</v>
      </c>
      <c r="E62" s="2" t="e">
        <f>NA()</f>
        <v>#N/A</v>
      </c>
      <c r="F62" s="2" t="e">
        <f>NA()</f>
        <v>#N/A</v>
      </c>
      <c r="G62" s="2">
        <v>3676</v>
      </c>
      <c r="H62" s="2">
        <v>3784.0151270000001</v>
      </c>
      <c r="I62" s="2">
        <f t="shared" si="11"/>
        <v>24318.805127</v>
      </c>
      <c r="J62" s="2">
        <f t="shared" si="6"/>
        <v>136.79327883937501</v>
      </c>
      <c r="K62" s="2">
        <f>K61+82</f>
        <v>2630.623</v>
      </c>
      <c r="L62" s="2">
        <f t="shared" si="7"/>
        <v>26949.428126999999</v>
      </c>
      <c r="P62" s="2">
        <f t="shared" si="8"/>
        <v>5.5696668750000029</v>
      </c>
      <c r="Q62" s="2">
        <f t="shared" si="9"/>
        <v>5.1084168750000023</v>
      </c>
      <c r="R62" s="2">
        <f t="shared" si="10"/>
        <v>27.493256924250023</v>
      </c>
    </row>
    <row r="63" spans="1:18">
      <c r="B63" s="2" t="s">
        <v>17</v>
      </c>
      <c r="C63" s="2">
        <v>23673.4</v>
      </c>
      <c r="D63" s="2">
        <v>0.47499999999999998</v>
      </c>
      <c r="E63" s="2" t="e">
        <f>NA()</f>
        <v>#N/A</v>
      </c>
      <c r="F63" s="2" t="e">
        <f>NA()</f>
        <v>#N/A</v>
      </c>
      <c r="G63" s="2">
        <v>3797</v>
      </c>
      <c r="H63" s="2">
        <v>5581.4661900000001</v>
      </c>
      <c r="I63" s="2">
        <f t="shared" si="11"/>
        <v>25457.866190000001</v>
      </c>
      <c r="J63" s="2">
        <f t="shared" si="6"/>
        <v>120.92486440249999</v>
      </c>
      <c r="K63" s="2">
        <f>K62+121</f>
        <v>2751.623</v>
      </c>
      <c r="L63" s="2">
        <f t="shared" si="7"/>
        <v>28209.48919</v>
      </c>
      <c r="P63" s="2">
        <f t="shared" si="8"/>
        <v>5.9852900492500041</v>
      </c>
      <c r="Q63" s="2">
        <f t="shared" si="9"/>
        <v>5.4105400492500042</v>
      </c>
      <c r="R63" s="2">
        <f t="shared" si="10"/>
        <v>28.575790170500007</v>
      </c>
    </row>
    <row r="64" spans="1:18">
      <c r="A64" s="2">
        <v>1796</v>
      </c>
      <c r="B64" s="3" t="s">
        <v>10</v>
      </c>
      <c r="C64" s="2">
        <v>27565.24</v>
      </c>
      <c r="D64" s="2">
        <v>0.4375</v>
      </c>
      <c r="E64" s="2" t="e">
        <f>NA()</f>
        <v>#N/A</v>
      </c>
      <c r="F64" s="2" t="e">
        <f>NA()</f>
        <v>#N/A</v>
      </c>
      <c r="G64" s="2">
        <v>3909</v>
      </c>
      <c r="H64" s="2">
        <v>5681.4661900000001</v>
      </c>
      <c r="I64" s="2">
        <f t="shared" si="11"/>
        <v>29337.706190000004</v>
      </c>
      <c r="J64" s="2">
        <f t="shared" si="6"/>
        <v>128.35246458125002</v>
      </c>
      <c r="K64" s="2">
        <f>K63+112</f>
        <v>2863.623</v>
      </c>
      <c r="L64" s="2">
        <f t="shared" si="7"/>
        <v>32201.329190000004</v>
      </c>
      <c r="P64" s="2">
        <f t="shared" si="8"/>
        <v>17.464300000000016</v>
      </c>
      <c r="Q64" s="2">
        <f t="shared" si="9"/>
        <v>16.974300000000017</v>
      </c>
      <c r="R64" s="2">
        <f t="shared" si="10"/>
        <v>41.095050121250011</v>
      </c>
    </row>
    <row r="65" spans="1:18">
      <c r="B65" s="3" t="s">
        <v>9</v>
      </c>
      <c r="C65" s="2">
        <v>28997.29</v>
      </c>
      <c r="D65" s="2">
        <v>0.46250000000000002</v>
      </c>
      <c r="E65" s="2" t="e">
        <f>NA()</f>
        <v>#N/A</v>
      </c>
      <c r="F65" s="2" t="e">
        <f>NA()</f>
        <v>#N/A</v>
      </c>
      <c r="G65" s="2">
        <v>4021</v>
      </c>
      <c r="H65" s="2">
        <v>5700</v>
      </c>
      <c r="I65" s="2">
        <f t="shared" si="11"/>
        <v>30676.29</v>
      </c>
      <c r="J65" s="2">
        <f t="shared" si="6"/>
        <v>141.87784125000002</v>
      </c>
      <c r="K65" s="2">
        <f>K64+112</f>
        <v>2975.623</v>
      </c>
      <c r="L65" s="2">
        <f t="shared" si="7"/>
        <v>33651.913</v>
      </c>
      <c r="P65" s="2">
        <f t="shared" si="8"/>
        <v>6.708950121249984</v>
      </c>
      <c r="Q65" s="2">
        <f t="shared" si="9"/>
        <v>6.1909501212499833</v>
      </c>
      <c r="R65" s="2">
        <f t="shared" si="10"/>
        <v>27.316425121249971</v>
      </c>
    </row>
    <row r="66" spans="1:18">
      <c r="B66" s="2" t="s">
        <v>16</v>
      </c>
      <c r="C66" s="2">
        <v>33051.69</v>
      </c>
      <c r="D66" s="2">
        <v>0.45</v>
      </c>
      <c r="E66" s="2" t="e">
        <f>NA()</f>
        <v>#N/A</v>
      </c>
      <c r="F66" s="2" t="e">
        <f>NA()</f>
        <v>#N/A</v>
      </c>
      <c r="G66" s="2">
        <v>4141</v>
      </c>
      <c r="H66" s="2">
        <v>5750</v>
      </c>
      <c r="I66" s="2">
        <f t="shared" si="11"/>
        <v>34660.69</v>
      </c>
      <c r="J66" s="2">
        <f t="shared" si="6"/>
        <v>155.973105</v>
      </c>
      <c r="K66" s="2">
        <f>K65+120</f>
        <v>3095.623</v>
      </c>
      <c r="L66" s="2">
        <f t="shared" si="7"/>
        <v>37756.313000000002</v>
      </c>
      <c r="P66" s="2">
        <f t="shared" si="8"/>
        <v>18.469800000000006</v>
      </c>
      <c r="Q66" s="2">
        <f t="shared" si="9"/>
        <v>17.929800000000007</v>
      </c>
      <c r="R66" s="2">
        <f t="shared" si="10"/>
        <v>22.282987500000008</v>
      </c>
    </row>
    <row r="67" spans="1:18">
      <c r="A67" s="2" t="s">
        <v>15</v>
      </c>
      <c r="B67" s="3" t="s">
        <v>10</v>
      </c>
      <c r="C67" s="2">
        <v>33901.129999999997</v>
      </c>
      <c r="D67" s="2">
        <v>0.4375</v>
      </c>
      <c r="E67" s="2" t="e">
        <f>NA()</f>
        <v>#N/A</v>
      </c>
      <c r="F67" s="2" t="e">
        <f>NA()</f>
        <v>#N/A</v>
      </c>
      <c r="G67" s="2">
        <v>4285</v>
      </c>
      <c r="H67" s="2">
        <v>5775</v>
      </c>
      <c r="I67" s="2">
        <f t="shared" si="11"/>
        <v>35391.129999999997</v>
      </c>
      <c r="J67" s="2">
        <f t="shared" si="6"/>
        <v>154.83619374999998</v>
      </c>
      <c r="K67" s="2">
        <f>K66+144</f>
        <v>3239.623</v>
      </c>
      <c r="L67" s="2">
        <f t="shared" si="7"/>
        <v>38630.752999999997</v>
      </c>
      <c r="P67" s="2">
        <f t="shared" si="8"/>
        <v>3.8256749999999782</v>
      </c>
      <c r="Q67" s="2">
        <f t="shared" si="9"/>
        <v>3.1956749999999783</v>
      </c>
      <c r="R67" s="2">
        <f t="shared" si="10"/>
        <v>4.096372499999986</v>
      </c>
    </row>
    <row r="68" spans="1:18">
      <c r="B68" s="3" t="s">
        <v>9</v>
      </c>
      <c r="C68" s="2">
        <v>34508.800000000003</v>
      </c>
      <c r="D68" s="2">
        <v>0.375</v>
      </c>
      <c r="E68" s="2" t="e">
        <f>NA()</f>
        <v>#N/A</v>
      </c>
      <c r="F68" s="2" t="e">
        <f>NA()</f>
        <v>#N/A</v>
      </c>
      <c r="G68" s="2">
        <v>4584</v>
      </c>
      <c r="H68" s="2">
        <v>5775</v>
      </c>
      <c r="I68" s="2">
        <f t="shared" si="11"/>
        <v>35699.800000000003</v>
      </c>
      <c r="J68" s="2">
        <f t="shared" ref="J68:J80" si="12">I68*D68/100</f>
        <v>133.87425000000002</v>
      </c>
      <c r="K68" s="2">
        <f>K67+16+247</f>
        <v>3502.623</v>
      </c>
      <c r="L68" s="2">
        <f t="shared" ref="L68:L74" si="13">I68+K68</f>
        <v>39202.423000000003</v>
      </c>
      <c r="P68" s="2">
        <f t="shared" si="8"/>
        <v>2.1437625000000207</v>
      </c>
      <c r="Q68" s="2">
        <f t="shared" si="9"/>
        <v>1.1575125000000208</v>
      </c>
      <c r="R68" s="2">
        <f t="shared" si="10"/>
        <v>3.9230037500000243</v>
      </c>
    </row>
    <row r="69" spans="1:18">
      <c r="B69" s="2" t="s">
        <v>14</v>
      </c>
      <c r="C69" s="2">
        <v>35294.78</v>
      </c>
      <c r="D69" s="2">
        <v>0.32500000000000001</v>
      </c>
      <c r="E69" s="2" t="e">
        <f>NA()</f>
        <v>#N/A</v>
      </c>
      <c r="F69" s="2" t="e">
        <f>NA()</f>
        <v>#N/A</v>
      </c>
      <c r="G69" s="2">
        <v>5474</v>
      </c>
      <c r="H69" s="2">
        <v>5800</v>
      </c>
      <c r="I69" s="2">
        <f t="shared" si="11"/>
        <v>35620.78</v>
      </c>
      <c r="J69" s="2">
        <f t="shared" si="12"/>
        <v>115.76753500000001</v>
      </c>
      <c r="K69" s="2">
        <f>K68+890</f>
        <v>4392.6229999999996</v>
      </c>
      <c r="L69" s="2">
        <f t="shared" si="13"/>
        <v>40013.402999999998</v>
      </c>
      <c r="P69" s="2">
        <f t="shared" si="8"/>
        <v>2.6356849999999867</v>
      </c>
      <c r="Q69" s="2">
        <f t="shared" si="9"/>
        <v>-0.25681500000001323</v>
      </c>
      <c r="R69" s="2">
        <f t="shared" si="10"/>
        <v>5.4290504921250111</v>
      </c>
    </row>
    <row r="70" spans="1:18">
      <c r="A70" s="2" t="s">
        <v>13</v>
      </c>
      <c r="B70" s="3" t="s">
        <v>10</v>
      </c>
      <c r="C70" s="2">
        <v>36005.730000000003</v>
      </c>
      <c r="D70" s="2">
        <v>0.38750000000000001</v>
      </c>
      <c r="E70" s="2" t="e">
        <f>NA()</f>
        <v>#N/A</v>
      </c>
      <c r="F70" s="2" t="e">
        <f>NA()</f>
        <v>#N/A</v>
      </c>
      <c r="G70" s="2">
        <v>5505</v>
      </c>
      <c r="H70" s="2">
        <v>5900</v>
      </c>
      <c r="I70" s="2">
        <f t="shared" si="11"/>
        <v>36400.730000000003</v>
      </c>
      <c r="J70" s="2">
        <f t="shared" si="12"/>
        <v>141.05282875</v>
      </c>
      <c r="K70" s="2">
        <f>K69+31</f>
        <v>4423.6229999999996</v>
      </c>
      <c r="L70" s="2">
        <f t="shared" si="13"/>
        <v>40824.353000000003</v>
      </c>
      <c r="P70" s="2">
        <f t="shared" si="8"/>
        <v>3.1424312500000173</v>
      </c>
      <c r="Q70" s="2">
        <f t="shared" si="9"/>
        <v>3.0223062500000166</v>
      </c>
      <c r="R70" s="2">
        <f t="shared" si="10"/>
        <v>7.4999194921249996</v>
      </c>
    </row>
    <row r="71" spans="1:18">
      <c r="B71" s="3" t="s">
        <v>9</v>
      </c>
      <c r="C71" s="2">
        <v>36558.160000000003</v>
      </c>
      <c r="D71" s="2">
        <v>0.38750000000000001</v>
      </c>
      <c r="E71" s="2" t="e">
        <f>NA()</f>
        <v>#N/A</v>
      </c>
      <c r="F71" s="2" t="e">
        <f>NA()</f>
        <v>#N/A</v>
      </c>
      <c r="G71" s="2">
        <v>5721</v>
      </c>
      <c r="H71" s="2">
        <v>6250.9401269999998</v>
      </c>
      <c r="I71" s="2">
        <f t="shared" si="11"/>
        <v>37088.100127000005</v>
      </c>
      <c r="J71" s="2">
        <f t="shared" si="12"/>
        <v>143.71638799212502</v>
      </c>
      <c r="K71" s="2">
        <f>K70+216</f>
        <v>4639.6229999999996</v>
      </c>
      <c r="L71" s="2">
        <f t="shared" si="13"/>
        <v>41727.723127000005</v>
      </c>
      <c r="P71" s="2">
        <f t="shared" si="8"/>
        <v>3.5005592421250076</v>
      </c>
      <c r="Q71" s="2">
        <f t="shared" si="9"/>
        <v>2.6635592421250078</v>
      </c>
      <c r="R71" s="2">
        <f t="shared" ref="R71:R76" si="14">SUM(Q71:Q73)</f>
        <v>4.477613242124983</v>
      </c>
    </row>
    <row r="72" spans="1:18">
      <c r="B72" s="2" t="s">
        <v>12</v>
      </c>
      <c r="C72" s="2">
        <v>37147.96</v>
      </c>
      <c r="D72" s="2">
        <v>0.4</v>
      </c>
      <c r="E72" s="2" t="e">
        <f>NA()</f>
        <v>#N/A</v>
      </c>
      <c r="F72" s="2" t="e">
        <f>NA()</f>
        <v>#N/A</v>
      </c>
      <c r="G72" s="2">
        <v>6371</v>
      </c>
      <c r="H72" s="2">
        <v>6764.6536269999997</v>
      </c>
      <c r="I72" s="2">
        <f t="shared" si="11"/>
        <v>37541.613626999999</v>
      </c>
      <c r="J72" s="2">
        <f t="shared" si="12"/>
        <v>150.16645450800002</v>
      </c>
      <c r="K72" s="2">
        <f>K71+325</f>
        <v>4964.6229999999996</v>
      </c>
      <c r="L72" s="2">
        <f t="shared" si="13"/>
        <v>42506.236626999998</v>
      </c>
      <c r="P72" s="2">
        <f t="shared" si="8"/>
        <v>3.114053999999975</v>
      </c>
      <c r="Q72" s="2">
        <f t="shared" si="9"/>
        <v>1.8140539999999747</v>
      </c>
      <c r="R72" s="2">
        <f t="shared" si="14"/>
        <v>1.8140539999999747</v>
      </c>
    </row>
    <row r="73" spans="1:18">
      <c r="A73" s="2" t="s">
        <v>11</v>
      </c>
      <c r="B73" s="3" t="s">
        <v>10</v>
      </c>
      <c r="C73" s="2">
        <v>36671.760000000002</v>
      </c>
      <c r="D73" s="2">
        <v>0.41249999999999998</v>
      </c>
      <c r="E73" s="2" t="e">
        <f>NA()</f>
        <v>#N/A</v>
      </c>
      <c r="F73" s="2" t="e">
        <f>NA()</f>
        <v>#N/A</v>
      </c>
      <c r="G73" s="2">
        <v>6986</v>
      </c>
      <c r="H73" s="2">
        <v>7355.0396270000001</v>
      </c>
      <c r="I73" s="2">
        <f t="shared" si="11"/>
        <v>37040.799627</v>
      </c>
      <c r="J73" s="2">
        <f t="shared" si="12"/>
        <v>152.793298461375</v>
      </c>
      <c r="K73" s="2">
        <f>K72+325</f>
        <v>5289.6229999999996</v>
      </c>
      <c r="L73" s="2">
        <f t="shared" si="13"/>
        <v>42330.422627</v>
      </c>
      <c r="P73" s="2">
        <f t="shared" si="8"/>
        <v>-0.72523274999999376</v>
      </c>
      <c r="Q73" s="2">
        <v>0</v>
      </c>
      <c r="R73" s="2">
        <f t="shared" si="14"/>
        <v>0</v>
      </c>
    </row>
    <row r="74" spans="1:18">
      <c r="B74" s="3" t="s">
        <v>9</v>
      </c>
      <c r="C74" s="2">
        <v>36778.660000000003</v>
      </c>
      <c r="D74" s="2">
        <v>0.4</v>
      </c>
      <c r="E74" s="2">
        <v>60.7</v>
      </c>
      <c r="F74" s="2">
        <v>18</v>
      </c>
      <c r="I74" s="2">
        <v>36778.660000000003</v>
      </c>
      <c r="J74" s="2">
        <f t="shared" si="12"/>
        <v>147.11464000000001</v>
      </c>
      <c r="K74" s="2">
        <f>K73+(12+615)</f>
        <v>5916.6229999999996</v>
      </c>
      <c r="L74" s="2">
        <f t="shared" si="13"/>
        <v>42695.283000000003</v>
      </c>
      <c r="M74" s="2">
        <f t="shared" ref="M74:M89" si="15">E74/100*F74</f>
        <v>10.926</v>
      </c>
      <c r="N74" s="2">
        <f t="shared" ref="N74:N79" si="16">M74+J74</f>
        <v>158.04064</v>
      </c>
      <c r="R74" s="2">
        <f t="shared" si="14"/>
        <v>0</v>
      </c>
    </row>
    <row r="75" spans="1:18">
      <c r="B75" s="2" t="s">
        <v>8</v>
      </c>
      <c r="C75" s="2">
        <v>36758.03</v>
      </c>
      <c r="D75" s="2">
        <v>0.4</v>
      </c>
      <c r="E75" s="2">
        <v>91.831000000000003</v>
      </c>
      <c r="F75" s="2">
        <v>16</v>
      </c>
      <c r="G75" s="2">
        <v>7495</v>
      </c>
      <c r="I75" s="2">
        <v>36758.03</v>
      </c>
      <c r="J75" s="2">
        <f t="shared" si="12"/>
        <v>147.03211999999999</v>
      </c>
      <c r="K75" s="2">
        <f>K74+509</f>
        <v>6425.6229999999996</v>
      </c>
      <c r="M75" s="2">
        <f t="shared" si="15"/>
        <v>14.692960000000001</v>
      </c>
      <c r="N75" s="2">
        <f t="shared" si="16"/>
        <v>161.72507999999999</v>
      </c>
      <c r="R75" s="2">
        <f t="shared" si="14"/>
        <v>0</v>
      </c>
    </row>
    <row r="76" spans="1:18">
      <c r="A76" s="2" t="s">
        <v>7</v>
      </c>
      <c r="B76" s="3" t="s">
        <v>10</v>
      </c>
      <c r="C76" s="2">
        <v>36457.919999999998</v>
      </c>
      <c r="D76" s="2">
        <v>0.35</v>
      </c>
      <c r="E76" s="2">
        <v>138.04499999999999</v>
      </c>
      <c r="F76" s="2">
        <v>12.05</v>
      </c>
      <c r="I76" s="2">
        <v>36457.919999999998</v>
      </c>
      <c r="J76" s="2">
        <f t="shared" si="12"/>
        <v>127.60271999999999</v>
      </c>
      <c r="M76" s="2">
        <f t="shared" si="15"/>
        <v>16.634422499999999</v>
      </c>
      <c r="N76" s="2">
        <f t="shared" si="16"/>
        <v>144.2371425</v>
      </c>
      <c r="R76" s="2">
        <f t="shared" si="14"/>
        <v>0</v>
      </c>
    </row>
    <row r="77" spans="1:18">
      <c r="B77" s="3" t="s">
        <v>9</v>
      </c>
      <c r="C77" s="2">
        <v>36271.980000000003</v>
      </c>
      <c r="D77" s="2">
        <v>0.28749999999999998</v>
      </c>
      <c r="E77" s="2">
        <v>212.999</v>
      </c>
      <c r="F77" s="2">
        <v>12.5</v>
      </c>
      <c r="I77" s="2">
        <v>36271.980000000003</v>
      </c>
      <c r="J77" s="2">
        <f t="shared" si="12"/>
        <v>104.2819425</v>
      </c>
      <c r="M77" s="2">
        <f t="shared" si="15"/>
        <v>26.624874999999999</v>
      </c>
      <c r="N77" s="2">
        <f t="shared" si="16"/>
        <v>130.90681749999999</v>
      </c>
    </row>
    <row r="78" spans="1:18">
      <c r="B78" s="2" t="s">
        <v>25</v>
      </c>
      <c r="C78" s="2">
        <v>35800.49</v>
      </c>
      <c r="D78" s="2">
        <v>0.22500000000000001</v>
      </c>
      <c r="E78" s="2">
        <v>353.67399999999998</v>
      </c>
      <c r="F78" s="2">
        <v>12.05</v>
      </c>
      <c r="G78" s="2">
        <v>8468</v>
      </c>
      <c r="I78" s="2">
        <v>35800.49</v>
      </c>
      <c r="J78" s="2">
        <f t="shared" si="12"/>
        <v>80.551102499999999</v>
      </c>
      <c r="M78" s="2">
        <f t="shared" si="15"/>
        <v>42.617716999999999</v>
      </c>
      <c r="N78" s="2">
        <f t="shared" si="16"/>
        <v>123.1688195</v>
      </c>
    </row>
    <row r="79" spans="1:18">
      <c r="A79" s="2" t="s">
        <v>5</v>
      </c>
      <c r="B79" s="3" t="s">
        <v>10</v>
      </c>
      <c r="C79" s="2">
        <v>35427.370000000003</v>
      </c>
      <c r="D79" s="2">
        <v>0.1875</v>
      </c>
      <c r="E79" s="2">
        <v>495.00400000000002</v>
      </c>
      <c r="F79" s="2">
        <v>7.05</v>
      </c>
      <c r="I79" s="2">
        <v>35427.370000000003</v>
      </c>
      <c r="J79" s="2">
        <f t="shared" si="12"/>
        <v>66.426318750000007</v>
      </c>
      <c r="M79" s="2">
        <f t="shared" si="15"/>
        <v>34.897781999999999</v>
      </c>
      <c r="N79" s="2">
        <f t="shared" si="16"/>
        <v>101.32410075000001</v>
      </c>
    </row>
    <row r="80" spans="1:18">
      <c r="B80" s="3" t="s">
        <v>9</v>
      </c>
      <c r="C80" s="2">
        <v>35428.949999999997</v>
      </c>
      <c r="D80" s="2">
        <v>0.17499999999999999</v>
      </c>
      <c r="E80" s="2">
        <v>1024.1189999999999</v>
      </c>
      <c r="F80" s="2">
        <v>6.5</v>
      </c>
      <c r="I80" s="2">
        <v>35428.949999999997</v>
      </c>
      <c r="J80" s="2">
        <f t="shared" si="12"/>
        <v>62.00066249999999</v>
      </c>
      <c r="M80" s="2">
        <f t="shared" si="15"/>
        <v>66.567734999999999</v>
      </c>
    </row>
    <row r="81" spans="1:14">
      <c r="B81" s="2" t="s">
        <v>24</v>
      </c>
      <c r="C81" s="2">
        <v>34682.42</v>
      </c>
      <c r="E81" s="2">
        <v>1168.7049999999999</v>
      </c>
      <c r="F81" s="2">
        <v>7.875</v>
      </c>
      <c r="I81" s="2">
        <v>34682.42</v>
      </c>
      <c r="M81" s="2">
        <f t="shared" si="15"/>
        <v>92.035518749999994</v>
      </c>
      <c r="N81" s="2">
        <f t="shared" ref="N81:N112" si="17">M81+J81</f>
        <v>92.035518749999994</v>
      </c>
    </row>
    <row r="82" spans="1:14">
      <c r="A82" s="2" t="s">
        <v>4</v>
      </c>
      <c r="B82" s="3" t="s">
        <v>10</v>
      </c>
      <c r="C82" s="2">
        <v>34508.75</v>
      </c>
      <c r="E82" s="2">
        <v>1355.316</v>
      </c>
      <c r="F82" s="2">
        <v>7.25</v>
      </c>
      <c r="I82" s="2">
        <v>34508.75</v>
      </c>
      <c r="M82" s="2">
        <f t="shared" si="15"/>
        <v>98.260410000000007</v>
      </c>
      <c r="N82" s="2">
        <f t="shared" si="17"/>
        <v>98.260410000000007</v>
      </c>
    </row>
    <row r="83" spans="1:14">
      <c r="B83" s="3" t="s">
        <v>9</v>
      </c>
      <c r="C83" s="2">
        <v>33864.339999999997</v>
      </c>
      <c r="E83" s="2">
        <v>1539.83</v>
      </c>
      <c r="F83" s="2">
        <v>5.875</v>
      </c>
      <c r="I83" s="2">
        <v>33864.339999999997</v>
      </c>
      <c r="M83" s="2">
        <f t="shared" si="15"/>
        <v>90.4650125</v>
      </c>
      <c r="N83" s="2">
        <f t="shared" si="17"/>
        <v>90.4650125</v>
      </c>
    </row>
    <row r="84" spans="1:14">
      <c r="B84" s="2" t="s">
        <v>23</v>
      </c>
      <c r="C84" s="2">
        <v>33555.589999999997</v>
      </c>
      <c r="E84" s="2">
        <v>1779.6690000000001</v>
      </c>
      <c r="F84" s="2">
        <v>5.0625</v>
      </c>
      <c r="I84" s="2">
        <v>33555.589999999997</v>
      </c>
      <c r="M84" s="2">
        <f t="shared" si="15"/>
        <v>90.095743125000013</v>
      </c>
      <c r="N84" s="2">
        <f t="shared" si="17"/>
        <v>90.095743125000013</v>
      </c>
    </row>
    <row r="85" spans="1:14">
      <c r="A85" s="2" t="s">
        <v>3</v>
      </c>
      <c r="B85" s="3" t="s">
        <v>10</v>
      </c>
      <c r="C85" s="2">
        <v>33072.47</v>
      </c>
      <c r="E85" s="2">
        <v>1962.067</v>
      </c>
      <c r="F85" s="2">
        <v>3.5</v>
      </c>
      <c r="I85" s="2">
        <v>33072.47</v>
      </c>
      <c r="M85" s="2">
        <f t="shared" si="15"/>
        <v>68.672345000000007</v>
      </c>
      <c r="N85" s="2">
        <f t="shared" si="17"/>
        <v>68.672345000000007</v>
      </c>
    </row>
    <row r="86" spans="1:14">
      <c r="B86" s="3" t="s">
        <v>9</v>
      </c>
      <c r="C86" s="2">
        <v>32834.9</v>
      </c>
      <c r="E86" s="2">
        <v>2138.8539999999998</v>
      </c>
      <c r="F86" s="2">
        <v>1.7</v>
      </c>
      <c r="I86" s="2">
        <v>32834.9</v>
      </c>
      <c r="M86" s="2">
        <f t="shared" si="15"/>
        <v>36.360517999999999</v>
      </c>
      <c r="N86" s="2">
        <f t="shared" si="17"/>
        <v>36.360517999999999</v>
      </c>
    </row>
    <row r="87" spans="1:14">
      <c r="B87" s="2" t="s">
        <v>22</v>
      </c>
      <c r="E87" s="2">
        <v>2257.8530000000001</v>
      </c>
      <c r="F87" s="2">
        <v>3.2</v>
      </c>
      <c r="M87" s="2">
        <f t="shared" si="15"/>
        <v>72.251296000000011</v>
      </c>
      <c r="N87" s="2">
        <f t="shared" si="17"/>
        <v>72.251296000000011</v>
      </c>
    </row>
    <row r="88" spans="1:14">
      <c r="A88" s="2" t="s">
        <v>2</v>
      </c>
      <c r="B88" s="3" t="s">
        <v>10</v>
      </c>
      <c r="E88" s="2">
        <v>2383.8560000000002</v>
      </c>
      <c r="F88" s="2">
        <v>2.4500000000000002</v>
      </c>
      <c r="M88" s="2">
        <f t="shared" si="15"/>
        <v>58.404472000000005</v>
      </c>
      <c r="N88" s="2">
        <f t="shared" si="17"/>
        <v>58.404472000000005</v>
      </c>
    </row>
    <row r="89" spans="1:14">
      <c r="B89" s="3" t="s">
        <v>9</v>
      </c>
      <c r="E89" s="2">
        <v>2397.8870000000002</v>
      </c>
      <c r="F89" s="2">
        <v>3.95</v>
      </c>
      <c r="M89" s="2">
        <f t="shared" si="15"/>
        <v>94.716536500000004</v>
      </c>
      <c r="N89" s="2">
        <f t="shared" si="17"/>
        <v>94.716536500000004</v>
      </c>
    </row>
    <row r="90" spans="1:14">
      <c r="B90" s="2" t="s">
        <v>21</v>
      </c>
      <c r="E90" s="2">
        <v>2400</v>
      </c>
      <c r="F90" s="2">
        <v>4.5999999999999996</v>
      </c>
      <c r="M90" s="2">
        <f t="shared" ref="M90:M112" si="18">2400*F90/100</f>
        <v>110.4</v>
      </c>
      <c r="N90" s="2">
        <f t="shared" si="17"/>
        <v>110.4</v>
      </c>
    </row>
    <row r="91" spans="1:14">
      <c r="A91" s="2" t="s">
        <v>1</v>
      </c>
      <c r="B91" s="3" t="s">
        <v>10</v>
      </c>
      <c r="F91" s="2">
        <v>3.875</v>
      </c>
      <c r="M91" s="2">
        <f t="shared" si="18"/>
        <v>93</v>
      </c>
      <c r="N91" s="2">
        <f t="shared" si="17"/>
        <v>93</v>
      </c>
    </row>
    <row r="92" spans="1:14">
      <c r="B92" s="3" t="s">
        <v>9</v>
      </c>
      <c r="F92" s="2">
        <v>4</v>
      </c>
      <c r="M92" s="2">
        <f t="shared" si="18"/>
        <v>96</v>
      </c>
      <c r="N92" s="2">
        <f t="shared" si="17"/>
        <v>96</v>
      </c>
    </row>
    <row r="93" spans="1:14">
      <c r="B93" s="2" t="s">
        <v>20</v>
      </c>
      <c r="F93" s="2">
        <v>4.2</v>
      </c>
      <c r="M93" s="2">
        <f t="shared" si="18"/>
        <v>100.8</v>
      </c>
      <c r="N93" s="2">
        <f t="shared" si="17"/>
        <v>100.8</v>
      </c>
    </row>
    <row r="94" spans="1:14">
      <c r="A94" s="2" t="s">
        <v>0</v>
      </c>
      <c r="B94" s="3" t="s">
        <v>10</v>
      </c>
      <c r="F94" s="2">
        <v>4.25</v>
      </c>
      <c r="M94" s="2">
        <f t="shared" si="18"/>
        <v>102</v>
      </c>
      <c r="N94" s="2">
        <f t="shared" si="17"/>
        <v>102</v>
      </c>
    </row>
    <row r="95" spans="1:14">
      <c r="B95" s="3" t="s">
        <v>9</v>
      </c>
      <c r="F95" s="2">
        <v>3.5</v>
      </c>
      <c r="M95" s="2">
        <f t="shared" si="18"/>
        <v>84</v>
      </c>
      <c r="N95" s="2">
        <f t="shared" si="17"/>
        <v>84</v>
      </c>
    </row>
    <row r="96" spans="1:14">
      <c r="B96" s="2" t="s">
        <v>19</v>
      </c>
      <c r="F96" s="2">
        <v>3.25</v>
      </c>
      <c r="M96" s="2">
        <f t="shared" si="18"/>
        <v>78</v>
      </c>
      <c r="N96" s="2">
        <f t="shared" si="17"/>
        <v>78</v>
      </c>
    </row>
    <row r="97" spans="1:14">
      <c r="A97" s="2" t="s">
        <v>18</v>
      </c>
      <c r="B97" s="3" t="s">
        <v>10</v>
      </c>
      <c r="F97" s="2">
        <v>2.75</v>
      </c>
      <c r="M97" s="2">
        <f t="shared" si="18"/>
        <v>66</v>
      </c>
      <c r="N97" s="2">
        <f t="shared" si="17"/>
        <v>66</v>
      </c>
    </row>
    <row r="98" spans="1:14">
      <c r="B98" s="3" t="s">
        <v>9</v>
      </c>
      <c r="F98" s="2">
        <v>2.6</v>
      </c>
      <c r="M98" s="2">
        <f t="shared" si="18"/>
        <v>62.4</v>
      </c>
      <c r="N98" s="2">
        <f t="shared" si="17"/>
        <v>62.4</v>
      </c>
    </row>
    <row r="99" spans="1:14">
      <c r="B99" s="2" t="s">
        <v>17</v>
      </c>
      <c r="F99" s="2">
        <v>2.4</v>
      </c>
      <c r="M99" s="2">
        <f t="shared" si="18"/>
        <v>57.6</v>
      </c>
      <c r="N99" s="2">
        <f t="shared" si="17"/>
        <v>57.6</v>
      </c>
    </row>
    <row r="100" spans="1:14">
      <c r="A100" s="2">
        <v>1797</v>
      </c>
      <c r="B100" s="3" t="s">
        <v>10</v>
      </c>
      <c r="F100" s="2">
        <v>1.9</v>
      </c>
      <c r="M100" s="2">
        <f t="shared" si="18"/>
        <v>45.6</v>
      </c>
      <c r="N100" s="2">
        <f t="shared" si="17"/>
        <v>45.6</v>
      </c>
    </row>
    <row r="101" spans="1:14">
      <c r="B101" s="3" t="s">
        <v>9</v>
      </c>
      <c r="F101" s="2">
        <v>1.25</v>
      </c>
      <c r="M101" s="2">
        <f t="shared" si="18"/>
        <v>30</v>
      </c>
      <c r="N101" s="2">
        <f t="shared" si="17"/>
        <v>30</v>
      </c>
    </row>
    <row r="102" spans="1:14">
      <c r="B102" s="2" t="s">
        <v>16</v>
      </c>
      <c r="F102" s="2">
        <v>1</v>
      </c>
      <c r="M102" s="2">
        <f t="shared" si="18"/>
        <v>24</v>
      </c>
      <c r="N102" s="2">
        <f t="shared" si="17"/>
        <v>24</v>
      </c>
    </row>
    <row r="103" spans="1:14">
      <c r="A103" s="2" t="s">
        <v>15</v>
      </c>
      <c r="B103" s="3" t="s">
        <v>10</v>
      </c>
      <c r="F103" s="2">
        <v>1.05</v>
      </c>
      <c r="M103" s="2">
        <f t="shared" si="18"/>
        <v>25.2</v>
      </c>
      <c r="N103" s="2">
        <f t="shared" si="17"/>
        <v>25.2</v>
      </c>
    </row>
    <row r="104" spans="1:14">
      <c r="B104" s="3" t="s">
        <v>9</v>
      </c>
      <c r="F104" s="2">
        <v>1.0249999999999999</v>
      </c>
      <c r="M104" s="2">
        <f t="shared" si="18"/>
        <v>24.6</v>
      </c>
      <c r="N104" s="2">
        <f t="shared" si="17"/>
        <v>24.6</v>
      </c>
    </row>
    <row r="105" spans="1:14">
      <c r="B105" s="2" t="s">
        <v>14</v>
      </c>
      <c r="F105" s="2">
        <v>1.1000000000000001</v>
      </c>
      <c r="M105" s="2">
        <f t="shared" si="18"/>
        <v>26.4</v>
      </c>
      <c r="N105" s="2">
        <f t="shared" si="17"/>
        <v>26.4</v>
      </c>
    </row>
    <row r="106" spans="1:14">
      <c r="A106" s="2" t="s">
        <v>13</v>
      </c>
      <c r="B106" s="3" t="s">
        <v>10</v>
      </c>
      <c r="F106" s="2">
        <v>1.3</v>
      </c>
      <c r="M106" s="2">
        <f t="shared" si="18"/>
        <v>31.2</v>
      </c>
      <c r="N106" s="2">
        <f t="shared" si="17"/>
        <v>31.2</v>
      </c>
    </row>
    <row r="107" spans="1:14">
      <c r="B107" s="3" t="s">
        <v>9</v>
      </c>
      <c r="F107" s="2">
        <v>2.0874999999999999</v>
      </c>
      <c r="M107" s="2">
        <f t="shared" si="18"/>
        <v>50.1</v>
      </c>
      <c r="N107" s="2">
        <f t="shared" si="17"/>
        <v>50.1</v>
      </c>
    </row>
    <row r="108" spans="1:14">
      <c r="B108" s="2" t="s">
        <v>12</v>
      </c>
      <c r="F108" s="2">
        <v>2.0625</v>
      </c>
      <c r="M108" s="2">
        <f t="shared" si="18"/>
        <v>49.5</v>
      </c>
      <c r="N108" s="2">
        <f t="shared" si="17"/>
        <v>49.5</v>
      </c>
    </row>
    <row r="109" spans="1:14">
      <c r="A109" s="2" t="s">
        <v>11</v>
      </c>
      <c r="B109" s="3" t="s">
        <v>10</v>
      </c>
      <c r="F109" s="2">
        <v>2.3312499999999998</v>
      </c>
      <c r="M109" s="2">
        <f t="shared" si="18"/>
        <v>55.95</v>
      </c>
      <c r="N109" s="2">
        <f t="shared" si="17"/>
        <v>55.95</v>
      </c>
    </row>
    <row r="110" spans="1:14">
      <c r="B110" s="3" t="s">
        <v>9</v>
      </c>
      <c r="F110" s="2">
        <v>1.6</v>
      </c>
      <c r="M110" s="2">
        <f t="shared" si="18"/>
        <v>38.4</v>
      </c>
      <c r="N110" s="2">
        <f t="shared" si="17"/>
        <v>38.4</v>
      </c>
    </row>
    <row r="111" spans="1:14">
      <c r="B111" s="2" t="s">
        <v>8</v>
      </c>
      <c r="F111" s="2">
        <v>1.2124999999999999</v>
      </c>
      <c r="M111" s="2">
        <f t="shared" si="18"/>
        <v>29.1</v>
      </c>
      <c r="N111" s="2">
        <f t="shared" si="17"/>
        <v>29.1</v>
      </c>
    </row>
    <row r="112" spans="1:14">
      <c r="A112" s="2" t="s">
        <v>7</v>
      </c>
      <c r="B112" s="2" t="s">
        <v>6</v>
      </c>
      <c r="F112" s="2">
        <v>1.3</v>
      </c>
      <c r="M112" s="2">
        <f t="shared" si="18"/>
        <v>31.2</v>
      </c>
      <c r="N112" s="2">
        <f t="shared" si="17"/>
        <v>31.2</v>
      </c>
    </row>
    <row r="115" spans="1:1">
      <c r="A115" s="2" t="s">
        <v>5</v>
      </c>
    </row>
    <row r="118" spans="1:1">
      <c r="A118" s="2" t="s">
        <v>4</v>
      </c>
    </row>
    <row r="121" spans="1:1">
      <c r="A121" s="2" t="s">
        <v>3</v>
      </c>
    </row>
    <row r="124" spans="1:1">
      <c r="A124" s="2" t="s">
        <v>2</v>
      </c>
    </row>
    <row r="128" spans="1:1">
      <c r="A128" s="2" t="s">
        <v>1</v>
      </c>
    </row>
    <row r="131" spans="1:1">
      <c r="A131" s="2" t="s">
        <v>0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0"/>
  <sheetViews>
    <sheetView zoomScaleSheetLayoutView="1" workbookViewId="0">
      <selection activeCell="A2" sqref="A2"/>
    </sheetView>
  </sheetViews>
  <sheetFormatPr defaultRowHeight="12.75"/>
  <cols>
    <col min="1" max="5" width="9.140625" style="2"/>
    <col min="6" max="16384" width="9.140625" style="1"/>
  </cols>
  <sheetData>
    <row r="1" spans="1:5">
      <c r="A1" s="2" t="s">
        <v>45</v>
      </c>
      <c r="B1" s="2" t="s">
        <v>67</v>
      </c>
      <c r="C1" s="2" t="s">
        <v>66</v>
      </c>
      <c r="D1" s="2" t="s">
        <v>65</v>
      </c>
      <c r="E1" s="2" t="s">
        <v>64</v>
      </c>
    </row>
    <row r="2" spans="1:5">
      <c r="A2" s="2" t="s">
        <v>43</v>
      </c>
      <c r="B2" s="2">
        <v>5891.4790000000003</v>
      </c>
      <c r="C2" s="2">
        <v>37</v>
      </c>
      <c r="D2" s="2">
        <v>-100</v>
      </c>
      <c r="E2" s="2">
        <v>-100</v>
      </c>
    </row>
    <row r="3" spans="1:5">
      <c r="A3" s="3" t="s">
        <v>42</v>
      </c>
      <c r="B3" s="2">
        <v>5911.3789999999999</v>
      </c>
      <c r="C3" s="2">
        <v>37</v>
      </c>
      <c r="D3" s="2">
        <v>-100</v>
      </c>
      <c r="E3" s="2">
        <v>-100</v>
      </c>
    </row>
    <row r="4" spans="1:5">
      <c r="A4" s="2" t="s">
        <v>25</v>
      </c>
      <c r="B4" s="2">
        <v>5905.7690000000002</v>
      </c>
      <c r="C4" s="2">
        <v>36</v>
      </c>
      <c r="D4" s="2">
        <v>-100</v>
      </c>
      <c r="E4" s="2">
        <v>-100</v>
      </c>
    </row>
    <row r="5" spans="1:5">
      <c r="A5" s="3" t="s">
        <v>10</v>
      </c>
      <c r="B5" s="2">
        <v>5942.0420000000004</v>
      </c>
      <c r="C5" s="2">
        <v>36</v>
      </c>
      <c r="D5" s="2">
        <v>-100</v>
      </c>
      <c r="E5" s="2">
        <v>-100</v>
      </c>
    </row>
    <row r="6" spans="1:5">
      <c r="A6" s="3" t="s">
        <v>9</v>
      </c>
      <c r="B6" s="2">
        <v>6006.0450000000001</v>
      </c>
      <c r="C6" s="2">
        <v>34</v>
      </c>
      <c r="D6" s="2">
        <v>-100</v>
      </c>
      <c r="E6" s="2">
        <v>-100</v>
      </c>
    </row>
    <row r="7" spans="1:5">
      <c r="A7" s="2" t="s">
        <v>24</v>
      </c>
      <c r="B7" s="2">
        <v>6054.2979999999998</v>
      </c>
      <c r="C7" s="2">
        <v>34</v>
      </c>
      <c r="D7" s="2">
        <v>-100</v>
      </c>
      <c r="E7" s="2">
        <v>-100</v>
      </c>
    </row>
    <row r="8" spans="1:5">
      <c r="A8" s="3" t="s">
        <v>10</v>
      </c>
      <c r="B8" s="2">
        <v>6082.0519999999997</v>
      </c>
      <c r="C8" s="2">
        <v>34</v>
      </c>
      <c r="D8" s="2">
        <v>-100</v>
      </c>
      <c r="E8" s="2">
        <v>-100</v>
      </c>
    </row>
    <row r="9" spans="1:5">
      <c r="A9" s="3" t="s">
        <v>9</v>
      </c>
      <c r="B9" s="2">
        <v>6167.2529999999997</v>
      </c>
      <c r="C9" s="2">
        <v>34</v>
      </c>
      <c r="D9" s="2">
        <v>-100</v>
      </c>
      <c r="E9" s="2">
        <v>-100</v>
      </c>
    </row>
    <row r="10" spans="1:5">
      <c r="A10" s="2" t="s">
        <v>23</v>
      </c>
      <c r="B10" s="2">
        <v>6217.4560000000001</v>
      </c>
      <c r="C10" s="2">
        <v>34</v>
      </c>
      <c r="D10" s="2">
        <v>-100</v>
      </c>
      <c r="E10" s="2">
        <v>-100</v>
      </c>
    </row>
    <row r="11" spans="1:5">
      <c r="A11" s="3" t="s">
        <v>10</v>
      </c>
      <c r="B11" s="2">
        <v>6308.7380000000003</v>
      </c>
      <c r="C11" s="2">
        <v>34</v>
      </c>
      <c r="D11" s="2">
        <v>-100</v>
      </c>
      <c r="E11" s="2">
        <v>-100</v>
      </c>
    </row>
    <row r="12" spans="1:5">
      <c r="A12" s="3" t="s">
        <v>9</v>
      </c>
      <c r="B12" s="2">
        <v>6369.0860000000002</v>
      </c>
      <c r="C12" s="2">
        <v>32</v>
      </c>
      <c r="D12" s="2">
        <v>-100</v>
      </c>
      <c r="E12" s="2">
        <v>-100</v>
      </c>
    </row>
    <row r="13" spans="1:5">
      <c r="A13" s="2" t="s">
        <v>22</v>
      </c>
      <c r="B13" s="2">
        <v>6397.4859999999999</v>
      </c>
      <c r="C13" s="2">
        <v>32</v>
      </c>
      <c r="D13" s="2">
        <v>-100</v>
      </c>
      <c r="E13" s="2">
        <v>-100</v>
      </c>
    </row>
    <row r="14" spans="1:5">
      <c r="A14" s="3" t="s">
        <v>10</v>
      </c>
      <c r="B14" s="2">
        <v>6428.9920000000002</v>
      </c>
      <c r="C14" s="2">
        <v>31</v>
      </c>
      <c r="D14" s="2">
        <v>-100</v>
      </c>
      <c r="E14" s="2">
        <v>-100</v>
      </c>
    </row>
    <row r="15" spans="1:5">
      <c r="A15" s="3" t="s">
        <v>9</v>
      </c>
      <c r="B15" s="2">
        <v>6476.81</v>
      </c>
      <c r="C15" s="2">
        <v>31</v>
      </c>
      <c r="D15" s="2">
        <v>-100</v>
      </c>
      <c r="E15" s="2">
        <v>-100</v>
      </c>
    </row>
    <row r="16" spans="1:5">
      <c r="A16" s="2" t="s">
        <v>40</v>
      </c>
      <c r="B16" s="2">
        <v>6573.3639999999996</v>
      </c>
      <c r="C16" s="2">
        <v>31</v>
      </c>
      <c r="D16" s="2">
        <v>-100</v>
      </c>
      <c r="E16" s="2">
        <v>-100</v>
      </c>
    </row>
    <row r="17" spans="1:5">
      <c r="A17" s="3" t="s">
        <v>10</v>
      </c>
      <c r="B17" s="2">
        <v>6618.2969999999996</v>
      </c>
      <c r="C17" s="2">
        <v>29</v>
      </c>
      <c r="D17" s="2">
        <v>-100</v>
      </c>
      <c r="E17" s="2">
        <v>-100</v>
      </c>
    </row>
    <row r="18" spans="1:5">
      <c r="A18" s="3" t="s">
        <v>9</v>
      </c>
      <c r="B18" s="2">
        <v>6674.6289999999999</v>
      </c>
      <c r="C18" s="2">
        <v>28</v>
      </c>
      <c r="D18" s="2">
        <v>-100</v>
      </c>
      <c r="E18" s="2">
        <v>-100</v>
      </c>
    </row>
    <row r="19" spans="1:5">
      <c r="A19" s="2" t="s">
        <v>20</v>
      </c>
      <c r="B19" s="2">
        <v>6721.2520000000004</v>
      </c>
      <c r="C19" s="2">
        <v>28</v>
      </c>
      <c r="D19" s="2">
        <v>-100</v>
      </c>
      <c r="E19" s="2">
        <v>-100</v>
      </c>
    </row>
    <row r="20" spans="1:5">
      <c r="A20" s="3" t="s">
        <v>10</v>
      </c>
      <c r="B20" s="2">
        <v>6813.3980000000001</v>
      </c>
      <c r="C20" s="2">
        <v>27</v>
      </c>
      <c r="D20" s="2">
        <v>-100</v>
      </c>
      <c r="E20" s="2">
        <v>-100</v>
      </c>
    </row>
    <row r="21" spans="1:5">
      <c r="A21" s="3" t="s">
        <v>9</v>
      </c>
      <c r="B21" s="2">
        <v>6885.2070000000003</v>
      </c>
      <c r="C21" s="2">
        <v>26</v>
      </c>
      <c r="D21" s="2">
        <v>-100</v>
      </c>
      <c r="E21" s="2">
        <v>-100</v>
      </c>
    </row>
    <row r="22" spans="1:5">
      <c r="A22" s="2" t="s">
        <v>19</v>
      </c>
      <c r="B22" s="2">
        <v>6962.9859999999999</v>
      </c>
      <c r="C22" s="2">
        <v>25</v>
      </c>
      <c r="D22" s="2">
        <v>-100</v>
      </c>
      <c r="E22" s="2">
        <v>-100</v>
      </c>
    </row>
    <row r="23" spans="1:5">
      <c r="A23" s="3" t="s">
        <v>10</v>
      </c>
      <c r="B23" s="2">
        <v>7038.1880000000001</v>
      </c>
      <c r="C23" s="2">
        <v>24</v>
      </c>
      <c r="D23" s="2">
        <v>-100</v>
      </c>
      <c r="E23" s="2">
        <v>-100</v>
      </c>
    </row>
    <row r="24" spans="1:5">
      <c r="A24" s="3" t="s">
        <v>9</v>
      </c>
      <c r="B24" s="2">
        <v>7092.7060000000001</v>
      </c>
      <c r="C24" s="2">
        <v>23</v>
      </c>
      <c r="D24" s="2">
        <v>-100</v>
      </c>
      <c r="E24" s="2">
        <v>-100</v>
      </c>
    </row>
    <row r="25" spans="1:5">
      <c r="A25" s="2" t="s">
        <v>17</v>
      </c>
      <c r="B25" s="2">
        <v>7154.6189999999997</v>
      </c>
      <c r="C25" s="2">
        <v>22</v>
      </c>
      <c r="D25" s="2">
        <v>-100</v>
      </c>
      <c r="E25" s="2">
        <v>-100</v>
      </c>
    </row>
    <row r="26" spans="1:5">
      <c r="A26" s="3" t="s">
        <v>10</v>
      </c>
      <c r="B26" s="2">
        <v>7228.8190000000004</v>
      </c>
      <c r="C26" s="2">
        <v>21</v>
      </c>
      <c r="D26" s="2">
        <v>-100</v>
      </c>
      <c r="E26" s="2">
        <v>-100</v>
      </c>
    </row>
    <row r="27" spans="1:5">
      <c r="A27" s="3" t="s">
        <v>9</v>
      </c>
      <c r="B27" s="2">
        <v>7289.2790000000005</v>
      </c>
      <c r="C27" s="2">
        <v>20</v>
      </c>
      <c r="D27" s="2">
        <v>-100</v>
      </c>
      <c r="E27" s="2">
        <v>-100</v>
      </c>
    </row>
    <row r="28" spans="1:5">
      <c r="A28" s="2" t="s">
        <v>16</v>
      </c>
      <c r="B28" s="2">
        <v>7349.8540000000003</v>
      </c>
      <c r="C28" s="2">
        <v>19</v>
      </c>
      <c r="D28" s="2">
        <v>-100</v>
      </c>
      <c r="E28" s="2">
        <v>-100</v>
      </c>
    </row>
    <row r="29" spans="1:5">
      <c r="A29" s="3" t="s">
        <v>10</v>
      </c>
      <c r="B29" s="2">
        <v>7477.0150000000003</v>
      </c>
      <c r="C29" s="2">
        <v>19</v>
      </c>
      <c r="D29" s="2">
        <v>-100</v>
      </c>
      <c r="E29" s="2">
        <v>-100</v>
      </c>
    </row>
    <row r="30" spans="1:5">
      <c r="A30" s="3" t="s">
        <v>9</v>
      </c>
      <c r="B30" s="2">
        <v>7588.0410000000002</v>
      </c>
      <c r="C30" s="2">
        <v>18</v>
      </c>
      <c r="D30" s="2">
        <v>-100</v>
      </c>
      <c r="E30" s="2">
        <v>-100</v>
      </c>
    </row>
    <row r="31" spans="1:5">
      <c r="A31" s="2" t="s">
        <v>14</v>
      </c>
      <c r="B31" s="2">
        <v>7702.848</v>
      </c>
      <c r="C31" s="2">
        <v>17</v>
      </c>
      <c r="D31" s="2">
        <v>-100</v>
      </c>
      <c r="E31" s="2">
        <v>-100</v>
      </c>
    </row>
    <row r="32" spans="1:5">
      <c r="A32" s="3" t="s">
        <v>10</v>
      </c>
      <c r="B32" s="2">
        <v>7823.66</v>
      </c>
      <c r="C32" s="2">
        <v>17</v>
      </c>
      <c r="D32" s="2">
        <v>-100</v>
      </c>
      <c r="E32" s="2">
        <v>-100</v>
      </c>
    </row>
    <row r="33" spans="1:5">
      <c r="A33" s="3" t="s">
        <v>9</v>
      </c>
      <c r="B33" s="2">
        <v>7991.3959999999997</v>
      </c>
      <c r="C33" s="2">
        <v>16</v>
      </c>
      <c r="D33" s="2">
        <v>-100</v>
      </c>
      <c r="E33" s="2">
        <v>-100</v>
      </c>
    </row>
    <row r="34" spans="1:5">
      <c r="A34" s="2" t="s">
        <v>12</v>
      </c>
      <c r="B34" s="2">
        <v>8148.6530000000002</v>
      </c>
      <c r="C34" s="2">
        <v>15</v>
      </c>
      <c r="D34" s="2">
        <v>-100</v>
      </c>
      <c r="E34" s="2">
        <v>-100</v>
      </c>
    </row>
    <row r="35" spans="1:5">
      <c r="A35" s="3" t="s">
        <v>10</v>
      </c>
      <c r="B35" s="2">
        <v>8326.9449999999997</v>
      </c>
      <c r="C35" s="2">
        <v>13</v>
      </c>
      <c r="D35" s="2">
        <v>-100</v>
      </c>
      <c r="E35" s="2">
        <v>-100</v>
      </c>
    </row>
    <row r="36" spans="1:5">
      <c r="A36" s="3" t="s">
        <v>9</v>
      </c>
      <c r="B36" s="2">
        <v>8572.2340000000004</v>
      </c>
      <c r="C36" s="2">
        <v>12</v>
      </c>
      <c r="D36" s="2">
        <v>-100</v>
      </c>
      <c r="E36" s="2">
        <v>-100</v>
      </c>
    </row>
    <row r="37" spans="1:5">
      <c r="A37" s="2" t="s">
        <v>8</v>
      </c>
      <c r="B37" s="2">
        <v>8903.5079999999998</v>
      </c>
      <c r="C37" s="2">
        <v>11</v>
      </c>
      <c r="D37" s="2">
        <v>-100</v>
      </c>
      <c r="E37" s="2">
        <v>-100</v>
      </c>
    </row>
    <row r="38" spans="1:5">
      <c r="A38" s="3" t="s">
        <v>10</v>
      </c>
      <c r="B38" s="2">
        <v>9303.5079999999998</v>
      </c>
      <c r="C38" s="2">
        <v>10</v>
      </c>
      <c r="D38" s="2">
        <v>-100</v>
      </c>
      <c r="E38" s="2">
        <v>-100</v>
      </c>
    </row>
    <row r="39" spans="1:5">
      <c r="A39" s="3" t="s">
        <v>9</v>
      </c>
      <c r="B39" s="2">
        <v>9696.4639999999999</v>
      </c>
      <c r="C39" s="2">
        <v>8</v>
      </c>
      <c r="D39" s="2">
        <v>-100</v>
      </c>
      <c r="E39" s="2">
        <v>-100</v>
      </c>
    </row>
    <row r="40" spans="1:5">
      <c r="A40" s="2" t="s">
        <v>25</v>
      </c>
      <c r="B40" s="2">
        <v>10055.35</v>
      </c>
      <c r="C40" s="2">
        <v>7</v>
      </c>
      <c r="D40" s="2">
        <v>-100</v>
      </c>
      <c r="E40" s="2">
        <v>-100</v>
      </c>
    </row>
    <row r="41" spans="1:5">
      <c r="A41" s="3" t="s">
        <v>10</v>
      </c>
      <c r="B41" s="2">
        <v>10402.709999999999</v>
      </c>
      <c r="C41" s="2">
        <v>6</v>
      </c>
      <c r="D41" s="2">
        <v>-100</v>
      </c>
      <c r="E41" s="2">
        <v>-100</v>
      </c>
    </row>
    <row r="42" spans="1:5">
      <c r="A42" s="3" t="s">
        <v>9</v>
      </c>
      <c r="B42" s="2">
        <v>10922.22</v>
      </c>
      <c r="C42" s="2">
        <v>4</v>
      </c>
      <c r="D42" s="2">
        <v>-100</v>
      </c>
      <c r="E42" s="2">
        <v>-100</v>
      </c>
    </row>
    <row r="43" spans="1:5">
      <c r="A43" s="2" t="s">
        <v>24</v>
      </c>
      <c r="B43" s="2">
        <v>11374.46</v>
      </c>
      <c r="C43" s="2">
        <v>3.75</v>
      </c>
      <c r="D43" s="2">
        <v>-100</v>
      </c>
      <c r="E43" s="2">
        <v>-100</v>
      </c>
    </row>
    <row r="44" spans="1:5">
      <c r="A44" s="3" t="s">
        <v>10</v>
      </c>
      <c r="B44" s="2">
        <v>12338.14</v>
      </c>
      <c r="C44" s="2">
        <v>3.5</v>
      </c>
      <c r="D44" s="2">
        <v>-100</v>
      </c>
      <c r="E44" s="2">
        <v>-100</v>
      </c>
    </row>
    <row r="45" spans="1:5">
      <c r="A45" s="3" t="s">
        <v>9</v>
      </c>
      <c r="B45" s="2">
        <v>13038.39</v>
      </c>
      <c r="C45" s="2">
        <v>3.75</v>
      </c>
      <c r="D45" s="2">
        <v>-100</v>
      </c>
      <c r="E45" s="2">
        <v>-100</v>
      </c>
    </row>
    <row r="46" spans="1:5">
      <c r="A46" s="2" t="s">
        <v>23</v>
      </c>
      <c r="B46" s="2">
        <v>13822.63</v>
      </c>
      <c r="C46" s="2">
        <v>3.5</v>
      </c>
      <c r="D46" s="2">
        <v>-100</v>
      </c>
      <c r="E46" s="2">
        <v>-100</v>
      </c>
    </row>
    <row r="47" spans="1:5">
      <c r="A47" s="3" t="s">
        <v>10</v>
      </c>
      <c r="B47" s="2">
        <v>14538.53</v>
      </c>
      <c r="C47" s="2">
        <v>3.25</v>
      </c>
      <c r="D47" s="2">
        <v>-100</v>
      </c>
      <c r="E47" s="2">
        <v>-100</v>
      </c>
    </row>
    <row r="48" spans="1:5">
      <c r="A48" s="3" t="s">
        <v>9</v>
      </c>
      <c r="B48" s="2">
        <v>15046.08</v>
      </c>
      <c r="C48" s="2">
        <v>3</v>
      </c>
      <c r="D48" s="2">
        <v>-100</v>
      </c>
      <c r="E48" s="2">
        <v>-100</v>
      </c>
    </row>
    <row r="49" spans="1:5">
      <c r="A49" s="2" t="s">
        <v>22</v>
      </c>
      <c r="B49" s="2">
        <v>15469.63</v>
      </c>
      <c r="C49" s="2">
        <v>2.75</v>
      </c>
      <c r="D49" s="2">
        <v>-100</v>
      </c>
      <c r="E49" s="2">
        <v>-100</v>
      </c>
    </row>
    <row r="50" spans="1:5">
      <c r="A50" s="3" t="s">
        <v>10</v>
      </c>
      <c r="B50" s="2">
        <v>16075.18</v>
      </c>
      <c r="C50" s="2">
        <v>2.5</v>
      </c>
      <c r="D50" s="2">
        <v>-100</v>
      </c>
      <c r="E50" s="2">
        <v>-100</v>
      </c>
    </row>
    <row r="51" spans="1:5">
      <c r="A51" s="3" t="s">
        <v>9</v>
      </c>
      <c r="B51" s="2">
        <v>16632.63</v>
      </c>
      <c r="C51" s="2">
        <v>2.25</v>
      </c>
      <c r="D51" s="2">
        <v>-100</v>
      </c>
      <c r="E51" s="2">
        <v>-100</v>
      </c>
    </row>
    <row r="52" spans="1:5">
      <c r="A52" s="2" t="s">
        <v>26</v>
      </c>
      <c r="B52" s="2">
        <v>17271.14</v>
      </c>
      <c r="C52" s="2">
        <v>2.0625</v>
      </c>
      <c r="D52" s="2">
        <v>-100</v>
      </c>
      <c r="E52" s="2">
        <v>-100</v>
      </c>
    </row>
    <row r="53" spans="1:5">
      <c r="A53" s="3" t="s">
        <v>10</v>
      </c>
      <c r="B53" s="2">
        <v>17879.34</v>
      </c>
      <c r="C53" s="2">
        <v>1.9624999999999999</v>
      </c>
      <c r="D53" s="2">
        <v>-100</v>
      </c>
      <c r="E53" s="2">
        <v>-100</v>
      </c>
    </row>
    <row r="54" spans="1:5">
      <c r="A54" s="3" t="s">
        <v>9</v>
      </c>
      <c r="B54" s="2">
        <v>18595.91</v>
      </c>
      <c r="C54" s="2">
        <v>1.5333330000000001</v>
      </c>
      <c r="D54" s="2">
        <v>-100</v>
      </c>
      <c r="E54" s="2">
        <v>-100</v>
      </c>
    </row>
    <row r="55" spans="1:5">
      <c r="A55" s="2" t="s">
        <v>20</v>
      </c>
      <c r="B55" s="2">
        <v>19462.169999999998</v>
      </c>
      <c r="C55" s="2">
        <v>1.1125</v>
      </c>
      <c r="D55" s="2">
        <v>-100</v>
      </c>
      <c r="E55" s="2">
        <v>-100</v>
      </c>
    </row>
    <row r="56" spans="1:5">
      <c r="A56" s="3" t="s">
        <v>10</v>
      </c>
      <c r="B56" s="2">
        <v>20476.47</v>
      </c>
      <c r="C56" s="2">
        <v>0.82499999999999996</v>
      </c>
      <c r="D56" s="2">
        <v>-100</v>
      </c>
      <c r="E56" s="2">
        <v>-100</v>
      </c>
    </row>
    <row r="57" spans="1:5">
      <c r="A57" s="3" t="s">
        <v>9</v>
      </c>
      <c r="B57" s="2">
        <v>21471.17</v>
      </c>
      <c r="C57" s="2">
        <v>0.77500000000000002</v>
      </c>
      <c r="D57" s="2">
        <v>-100</v>
      </c>
      <c r="E57" s="2">
        <v>-100</v>
      </c>
    </row>
    <row r="58" spans="1:5">
      <c r="A58" s="2" t="s">
        <v>19</v>
      </c>
      <c r="B58" s="2">
        <v>22356.13</v>
      </c>
      <c r="C58" s="2">
        <v>0.72499999999999998</v>
      </c>
      <c r="D58" s="2">
        <v>-100</v>
      </c>
      <c r="E58" s="2">
        <v>-100</v>
      </c>
    </row>
    <row r="59" spans="1:5">
      <c r="A59" s="3" t="s">
        <v>10</v>
      </c>
      <c r="B59" s="2">
        <v>23410.642126999999</v>
      </c>
      <c r="C59" s="2">
        <v>0.625</v>
      </c>
      <c r="D59" s="2">
        <v>-100</v>
      </c>
      <c r="E59" s="2">
        <v>-100</v>
      </c>
    </row>
    <row r="60" spans="1:5">
      <c r="A60" s="3" t="s">
        <v>9</v>
      </c>
      <c r="B60" s="2">
        <v>24318.805127</v>
      </c>
      <c r="C60" s="2">
        <v>0.5625</v>
      </c>
      <c r="D60" s="2">
        <v>-100</v>
      </c>
      <c r="E60" s="2">
        <v>-100</v>
      </c>
    </row>
    <row r="61" spans="1:5">
      <c r="A61" s="2" t="s">
        <v>17</v>
      </c>
      <c r="B61" s="2">
        <v>25457.866190000001</v>
      </c>
      <c r="C61" s="2">
        <v>0.47499999999999998</v>
      </c>
      <c r="D61" s="2">
        <v>-100</v>
      </c>
      <c r="E61" s="2">
        <v>-100</v>
      </c>
    </row>
    <row r="62" spans="1:5">
      <c r="A62" s="3" t="s">
        <v>10</v>
      </c>
      <c r="B62" s="2">
        <v>29337.706190000001</v>
      </c>
      <c r="C62" s="2">
        <v>0.4375</v>
      </c>
      <c r="D62" s="2">
        <v>-100</v>
      </c>
      <c r="E62" s="2">
        <v>-100</v>
      </c>
    </row>
    <row r="63" spans="1:5">
      <c r="A63" s="3" t="s">
        <v>9</v>
      </c>
      <c r="B63" s="2">
        <v>30676.29</v>
      </c>
      <c r="C63" s="2">
        <v>0.46250000000000002</v>
      </c>
      <c r="D63" s="2">
        <v>-100</v>
      </c>
      <c r="E63" s="2">
        <v>-100</v>
      </c>
    </row>
    <row r="64" spans="1:5">
      <c r="A64" s="2" t="s">
        <v>16</v>
      </c>
      <c r="B64" s="2">
        <v>34660.69</v>
      </c>
      <c r="C64" s="2">
        <v>0.45</v>
      </c>
      <c r="D64" s="2">
        <v>-100</v>
      </c>
      <c r="E64" s="2">
        <v>-100</v>
      </c>
    </row>
    <row r="65" spans="1:5">
      <c r="A65" s="3" t="s">
        <v>10</v>
      </c>
      <c r="B65" s="2">
        <v>35391.129999999997</v>
      </c>
      <c r="C65" s="2">
        <v>0.4375</v>
      </c>
      <c r="D65" s="2">
        <v>-100</v>
      </c>
      <c r="E65" s="2">
        <v>-100</v>
      </c>
    </row>
    <row r="66" spans="1:5">
      <c r="A66" s="3" t="s">
        <v>9</v>
      </c>
      <c r="B66" s="2">
        <v>35699.800000000003</v>
      </c>
      <c r="C66" s="2">
        <v>0.375</v>
      </c>
      <c r="D66" s="2">
        <v>-100</v>
      </c>
      <c r="E66" s="2">
        <v>-100</v>
      </c>
    </row>
    <row r="67" spans="1:5">
      <c r="A67" s="2" t="s">
        <v>14</v>
      </c>
      <c r="B67" s="2">
        <v>36065.78</v>
      </c>
      <c r="C67" s="2">
        <v>0.32500000000000001</v>
      </c>
      <c r="D67" s="2">
        <v>-100</v>
      </c>
      <c r="E67" s="2">
        <v>-100</v>
      </c>
    </row>
    <row r="68" spans="1:5">
      <c r="A68" s="3" t="s">
        <v>10</v>
      </c>
      <c r="B68" s="2">
        <v>36400.730000000003</v>
      </c>
      <c r="C68" s="2">
        <v>0.38750000000000001</v>
      </c>
      <c r="D68" s="2">
        <v>-100</v>
      </c>
      <c r="E68" s="2">
        <v>-100</v>
      </c>
    </row>
    <row r="69" spans="1:5">
      <c r="A69" s="3" t="s">
        <v>9</v>
      </c>
      <c r="B69" s="2">
        <v>37088.100127000005</v>
      </c>
      <c r="C69" s="2">
        <v>0.38750000000000001</v>
      </c>
      <c r="D69" s="2">
        <v>-100</v>
      </c>
      <c r="E69" s="2">
        <v>-100</v>
      </c>
    </row>
    <row r="70" spans="1:5">
      <c r="A70" s="2" t="s">
        <v>12</v>
      </c>
      <c r="B70" s="2">
        <v>37541.613626999999</v>
      </c>
      <c r="C70" s="2">
        <v>0.4</v>
      </c>
      <c r="D70" s="2">
        <v>-100</v>
      </c>
      <c r="E70" s="2">
        <v>-100</v>
      </c>
    </row>
    <row r="71" spans="1:5">
      <c r="A71" s="3" t="s">
        <v>10</v>
      </c>
      <c r="B71" s="2">
        <v>37040.799627</v>
      </c>
      <c r="C71" s="2">
        <v>0.41249999999999998</v>
      </c>
      <c r="D71" s="2">
        <v>-100</v>
      </c>
      <c r="E71" s="2">
        <v>-100</v>
      </c>
    </row>
    <row r="72" spans="1:5">
      <c r="A72" s="3" t="s">
        <v>9</v>
      </c>
      <c r="B72" s="2">
        <v>36778.660000000003</v>
      </c>
      <c r="C72" s="2">
        <v>0.4</v>
      </c>
      <c r="D72" s="2">
        <v>60.7</v>
      </c>
      <c r="E72" s="2">
        <v>18</v>
      </c>
    </row>
    <row r="73" spans="1:5">
      <c r="A73" s="2" t="s">
        <v>8</v>
      </c>
      <c r="B73" s="2">
        <v>36758.03</v>
      </c>
      <c r="C73" s="2">
        <v>0.4</v>
      </c>
      <c r="D73" s="2">
        <v>91.831000000000003</v>
      </c>
      <c r="E73" s="2">
        <v>16</v>
      </c>
    </row>
    <row r="74" spans="1:5">
      <c r="A74" s="3" t="s">
        <v>10</v>
      </c>
      <c r="B74" s="2">
        <v>36457.919999999998</v>
      </c>
      <c r="C74" s="2">
        <v>0.35</v>
      </c>
      <c r="D74" s="2">
        <v>138.04499999999999</v>
      </c>
      <c r="E74" s="2">
        <v>12.05</v>
      </c>
    </row>
    <row r="75" spans="1:5">
      <c r="A75" s="3" t="s">
        <v>9</v>
      </c>
      <c r="B75" s="2">
        <v>36271.980000000003</v>
      </c>
      <c r="C75" s="2">
        <v>0.28749999999999998</v>
      </c>
      <c r="D75" s="2">
        <v>212.999</v>
      </c>
      <c r="E75" s="2">
        <v>12.5</v>
      </c>
    </row>
    <row r="76" spans="1:5">
      <c r="A76" s="2" t="s">
        <v>25</v>
      </c>
      <c r="B76" s="2">
        <v>35800.49</v>
      </c>
      <c r="C76" s="2">
        <v>0.22500000000000001</v>
      </c>
      <c r="D76" s="2">
        <v>353.67399999999998</v>
      </c>
      <c r="E76" s="2">
        <v>12.05</v>
      </c>
    </row>
    <row r="77" spans="1:5">
      <c r="A77" s="3" t="s">
        <v>10</v>
      </c>
      <c r="B77" s="2">
        <v>35427.370000000003</v>
      </c>
      <c r="C77" s="2">
        <v>0.1875</v>
      </c>
      <c r="D77" s="2">
        <v>495.00400000000002</v>
      </c>
      <c r="E77" s="2">
        <v>7.05</v>
      </c>
    </row>
    <row r="78" spans="1:5">
      <c r="A78" s="3" t="s">
        <v>9</v>
      </c>
      <c r="B78" s="2">
        <v>35428.949999999997</v>
      </c>
      <c r="C78" s="2">
        <v>0.17499999999999999</v>
      </c>
      <c r="D78" s="2">
        <v>1024.1189999999999</v>
      </c>
      <c r="E78" s="2">
        <v>6.5</v>
      </c>
    </row>
    <row r="79" spans="1:5">
      <c r="A79" s="2" t="s">
        <v>24</v>
      </c>
      <c r="B79" s="2">
        <v>34682.42</v>
      </c>
      <c r="D79" s="2">
        <v>1168.7049999999999</v>
      </c>
      <c r="E79" s="2">
        <v>7.875</v>
      </c>
    </row>
    <row r="80" spans="1:5">
      <c r="A80" s="3" t="s">
        <v>10</v>
      </c>
      <c r="B80" s="2">
        <v>34508.75</v>
      </c>
      <c r="D80" s="2">
        <v>1355.316</v>
      </c>
      <c r="E80" s="2">
        <v>7.25</v>
      </c>
    </row>
    <row r="81" spans="1:5">
      <c r="A81" s="3" t="s">
        <v>9</v>
      </c>
      <c r="B81" s="2">
        <v>33864.339999999997</v>
      </c>
      <c r="D81" s="2">
        <v>1539.83</v>
      </c>
      <c r="E81" s="2">
        <v>5.875</v>
      </c>
    </row>
    <row r="82" spans="1:5">
      <c r="A82" s="2" t="s">
        <v>23</v>
      </c>
      <c r="B82" s="2">
        <v>33555.589999999997</v>
      </c>
      <c r="D82" s="2">
        <v>1779.6690000000001</v>
      </c>
      <c r="E82" s="2">
        <v>5.0625</v>
      </c>
    </row>
    <row r="83" spans="1:5">
      <c r="A83" s="3" t="s">
        <v>10</v>
      </c>
      <c r="B83" s="2">
        <v>33072.47</v>
      </c>
      <c r="D83" s="2">
        <v>1962.067</v>
      </c>
      <c r="E83" s="2">
        <v>3.5</v>
      </c>
    </row>
    <row r="84" spans="1:5">
      <c r="A84" s="3" t="s">
        <v>9</v>
      </c>
      <c r="B84" s="2">
        <v>32834.9</v>
      </c>
      <c r="D84" s="2">
        <v>2138.8539999999998</v>
      </c>
      <c r="E84" s="2">
        <v>1.7</v>
      </c>
    </row>
    <row r="85" spans="1:5">
      <c r="A85" s="2" t="s">
        <v>22</v>
      </c>
      <c r="D85" s="2">
        <v>2257.8530000000001</v>
      </c>
      <c r="E85" s="2">
        <v>3.2</v>
      </c>
    </row>
    <row r="86" spans="1:5">
      <c r="A86" s="3" t="s">
        <v>10</v>
      </c>
      <c r="D86" s="2">
        <v>2383.8560000000002</v>
      </c>
      <c r="E86" s="2">
        <v>2.4500000000000002</v>
      </c>
    </row>
    <row r="87" spans="1:5">
      <c r="A87" s="3" t="s">
        <v>9</v>
      </c>
      <c r="D87" s="2">
        <v>2397.8870000000002</v>
      </c>
      <c r="E87" s="2">
        <v>3.95</v>
      </c>
    </row>
    <row r="88" spans="1:5">
      <c r="A88" s="2" t="s">
        <v>21</v>
      </c>
      <c r="D88" s="2">
        <v>2400</v>
      </c>
      <c r="E88" s="2">
        <v>4.5999999999999996</v>
      </c>
    </row>
    <row r="89" spans="1:5">
      <c r="A89" s="3" t="s">
        <v>10</v>
      </c>
      <c r="E89" s="2">
        <v>3.875</v>
      </c>
    </row>
    <row r="90" spans="1:5">
      <c r="A90" s="3" t="s">
        <v>9</v>
      </c>
      <c r="E90" s="2">
        <v>4</v>
      </c>
    </row>
    <row r="91" spans="1:5">
      <c r="A91" s="2" t="s">
        <v>20</v>
      </c>
      <c r="E91" s="2">
        <v>4.2</v>
      </c>
    </row>
    <row r="92" spans="1:5">
      <c r="A92" s="3" t="s">
        <v>10</v>
      </c>
      <c r="E92" s="2">
        <v>4.25</v>
      </c>
    </row>
    <row r="93" spans="1:5">
      <c r="A93" s="3" t="s">
        <v>9</v>
      </c>
      <c r="E93" s="2">
        <v>3.5</v>
      </c>
    </row>
    <row r="94" spans="1:5">
      <c r="A94" s="2" t="s">
        <v>19</v>
      </c>
      <c r="E94" s="2">
        <v>3.25</v>
      </c>
    </row>
    <row r="95" spans="1:5">
      <c r="A95" s="3" t="s">
        <v>10</v>
      </c>
      <c r="E95" s="2">
        <v>2.75</v>
      </c>
    </row>
    <row r="96" spans="1:5">
      <c r="A96" s="3" t="s">
        <v>9</v>
      </c>
      <c r="E96" s="2">
        <v>2.6</v>
      </c>
    </row>
    <row r="97" spans="1:5">
      <c r="A97" s="2" t="s">
        <v>17</v>
      </c>
      <c r="E97" s="2">
        <v>2.4</v>
      </c>
    </row>
    <row r="98" spans="1:5">
      <c r="A98" s="3" t="s">
        <v>10</v>
      </c>
      <c r="E98" s="2">
        <v>1.9</v>
      </c>
    </row>
    <row r="99" spans="1:5">
      <c r="A99" s="3" t="s">
        <v>9</v>
      </c>
      <c r="E99" s="2">
        <v>1.25</v>
      </c>
    </row>
    <row r="100" spans="1:5">
      <c r="A100" s="2" t="s">
        <v>16</v>
      </c>
      <c r="E100" s="2">
        <v>1</v>
      </c>
    </row>
    <row r="101" spans="1:5">
      <c r="A101" s="3" t="s">
        <v>10</v>
      </c>
      <c r="E101" s="2">
        <v>1.05</v>
      </c>
    </row>
    <row r="102" spans="1:5">
      <c r="A102" s="3" t="s">
        <v>9</v>
      </c>
      <c r="E102" s="2">
        <v>1.0249999999999999</v>
      </c>
    </row>
    <row r="103" spans="1:5">
      <c r="A103" s="2" t="s">
        <v>14</v>
      </c>
      <c r="E103" s="2">
        <v>1.1000000000000001</v>
      </c>
    </row>
    <row r="104" spans="1:5">
      <c r="A104" s="3" t="s">
        <v>10</v>
      </c>
      <c r="E104" s="2">
        <v>1.3</v>
      </c>
    </row>
    <row r="105" spans="1:5">
      <c r="A105" s="3" t="s">
        <v>9</v>
      </c>
      <c r="E105" s="2">
        <v>2.0874999999999999</v>
      </c>
    </row>
    <row r="106" spans="1:5">
      <c r="A106" s="2" t="s">
        <v>12</v>
      </c>
      <c r="E106" s="2">
        <v>2.0625</v>
      </c>
    </row>
    <row r="107" spans="1:5">
      <c r="A107" s="3" t="s">
        <v>10</v>
      </c>
      <c r="E107" s="2">
        <v>2.3312499999999998</v>
      </c>
    </row>
    <row r="108" spans="1:5">
      <c r="A108" s="3" t="s">
        <v>9</v>
      </c>
      <c r="E108" s="2">
        <v>1.6</v>
      </c>
    </row>
    <row r="109" spans="1:5">
      <c r="A109" s="2" t="s">
        <v>8</v>
      </c>
      <c r="E109" s="2">
        <v>1.2124999999999999</v>
      </c>
    </row>
    <row r="110" spans="1:5">
      <c r="A110" s="2" t="s">
        <v>6</v>
      </c>
      <c r="E110" s="2">
        <v>1.3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90"/>
  <sheetViews>
    <sheetView zoomScaleSheetLayoutView="1" workbookViewId="0"/>
  </sheetViews>
  <sheetFormatPr defaultRowHeight="12.75"/>
  <cols>
    <col min="1" max="12" width="9.140625" style="2"/>
    <col min="13" max="16384" width="9.140625" style="1"/>
  </cols>
  <sheetData>
    <row r="1" spans="1:6">
      <c r="B1" s="2" t="s">
        <v>83</v>
      </c>
      <c r="C1" s="2" t="s">
        <v>82</v>
      </c>
      <c r="E1" s="2" t="s">
        <v>81</v>
      </c>
    </row>
    <row r="2" spans="1:6">
      <c r="F2" s="2" t="s">
        <v>80</v>
      </c>
    </row>
    <row r="4" spans="1:6">
      <c r="A4" s="2">
        <v>1788</v>
      </c>
      <c r="B4" s="5">
        <v>2012.5</v>
      </c>
      <c r="C4" s="4">
        <v>5.5960779624536647E-2</v>
      </c>
      <c r="D4" s="2">
        <v>1</v>
      </c>
    </row>
    <row r="5" spans="1:6">
      <c r="A5" s="3" t="s">
        <v>75</v>
      </c>
      <c r="B5" s="5">
        <v>2002.5</v>
      </c>
      <c r="C5" s="4">
        <v>5.6301429190125596E-2</v>
      </c>
      <c r="D5" s="2">
        <v>2</v>
      </c>
    </row>
    <row r="6" spans="1:6">
      <c r="A6" s="3" t="s">
        <v>75</v>
      </c>
      <c r="B6" s="5">
        <v>1990</v>
      </c>
      <c r="C6" s="4">
        <v>5.6717647914293332E-2</v>
      </c>
      <c r="D6" s="2">
        <v>3</v>
      </c>
    </row>
    <row r="7" spans="1:6">
      <c r="A7" s="3" t="s">
        <v>75</v>
      </c>
      <c r="B7" s="5">
        <v>1982.5</v>
      </c>
      <c r="C7" s="4">
        <v>5.6995323460639125E-2</v>
      </c>
      <c r="D7" s="2">
        <v>4</v>
      </c>
    </row>
    <row r="8" spans="1:6">
      <c r="A8" s="3" t="s">
        <v>75</v>
      </c>
      <c r="B8" s="5">
        <v>2007.5</v>
      </c>
      <c r="C8" s="4">
        <v>5.6343454287158992E-2</v>
      </c>
      <c r="D8" s="2">
        <v>5</v>
      </c>
    </row>
    <row r="9" spans="1:6">
      <c r="A9" s="2">
        <v>2</v>
      </c>
      <c r="B9" s="5">
        <v>2040</v>
      </c>
      <c r="C9" s="4">
        <v>5.550021346235947E-2</v>
      </c>
      <c r="D9" s="2">
        <v>6</v>
      </c>
    </row>
    <row r="10" spans="1:6">
      <c r="A10" s="3" t="s">
        <v>75</v>
      </c>
      <c r="B10" s="5">
        <v>2035</v>
      </c>
      <c r="C10" s="4">
        <v>5.5697046152381406E-2</v>
      </c>
      <c r="D10" s="2">
        <v>7</v>
      </c>
    </row>
    <row r="11" spans="1:6">
      <c r="A11" s="3" t="s">
        <v>75</v>
      </c>
      <c r="B11" s="5">
        <v>2037.5</v>
      </c>
      <c r="C11" s="4">
        <v>5.5687767729652546E-2</v>
      </c>
      <c r="D11" s="2">
        <v>8</v>
      </c>
    </row>
    <row r="12" spans="1:6">
      <c r="A12" s="3" t="s">
        <v>75</v>
      </c>
      <c r="B12" s="5">
        <v>2037.5</v>
      </c>
      <c r="C12" s="4">
        <v>5.574746873138773E-2</v>
      </c>
      <c r="D12" s="2">
        <v>9</v>
      </c>
    </row>
    <row r="13" spans="1:6">
      <c r="A13" s="2">
        <v>3</v>
      </c>
      <c r="B13" s="5">
        <v>2040</v>
      </c>
      <c r="C13" s="4">
        <v>5.5738173502929825E-2</v>
      </c>
      <c r="D13" s="2">
        <v>10</v>
      </c>
    </row>
    <row r="14" spans="1:6">
      <c r="A14" s="3" t="s">
        <v>75</v>
      </c>
      <c r="D14" s="2">
        <v>11</v>
      </c>
    </row>
    <row r="15" spans="1:6">
      <c r="A15" s="3" t="s">
        <v>75</v>
      </c>
      <c r="B15" s="5">
        <v>2025</v>
      </c>
      <c r="C15" s="4">
        <v>5.627705627705628E-2</v>
      </c>
      <c r="D15" s="2">
        <v>12</v>
      </c>
    </row>
    <row r="16" spans="1:6">
      <c r="A16" s="3" t="s">
        <v>75</v>
      </c>
      <c r="B16" s="5">
        <v>2032.5</v>
      </c>
      <c r="C16" s="4">
        <v>5.6127221702525723E-2</v>
      </c>
      <c r="D16" s="2">
        <v>13</v>
      </c>
    </row>
    <row r="17" spans="1:4">
      <c r="A17" s="2">
        <v>4</v>
      </c>
      <c r="B17" s="5">
        <v>2040</v>
      </c>
      <c r="C17" s="4">
        <v>5.5978182862064019E-2</v>
      </c>
      <c r="D17" s="2">
        <v>14</v>
      </c>
    </row>
    <row r="18" spans="1:4">
      <c r="A18" s="3" t="s">
        <v>75</v>
      </c>
      <c r="B18" s="5">
        <v>2040</v>
      </c>
      <c r="C18" s="4">
        <v>5.603850851354264E-2</v>
      </c>
      <c r="D18" s="2">
        <v>15</v>
      </c>
    </row>
    <row r="19" spans="1:4">
      <c r="A19" s="3" t="s">
        <v>75</v>
      </c>
      <c r="B19" s="5">
        <v>2040</v>
      </c>
      <c r="C19" s="4">
        <v>5.6098964326812426E-2</v>
      </c>
      <c r="D19" s="2">
        <v>16</v>
      </c>
    </row>
    <row r="20" spans="1:4">
      <c r="A20" s="3" t="s">
        <v>75</v>
      </c>
      <c r="B20" s="5">
        <v>2042.5</v>
      </c>
      <c r="C20" s="4">
        <v>5.6089551523286749E-2</v>
      </c>
      <c r="D20" s="2">
        <v>17</v>
      </c>
    </row>
    <row r="21" spans="1:4">
      <c r="A21" s="3" t="s">
        <v>75</v>
      </c>
      <c r="B21" s="5">
        <v>2032.5</v>
      </c>
      <c r="C21" s="4">
        <v>5.6431775430473161E-2</v>
      </c>
      <c r="D21" s="2">
        <v>18</v>
      </c>
    </row>
    <row r="22" spans="1:4">
      <c r="A22" s="2">
        <v>5</v>
      </c>
      <c r="B22" s="5">
        <v>2027.5</v>
      </c>
      <c r="C22" s="4">
        <v>5.6635283297432053E-2</v>
      </c>
      <c r="D22" s="2">
        <v>19</v>
      </c>
    </row>
    <row r="23" spans="1:4">
      <c r="A23" s="3" t="s">
        <v>75</v>
      </c>
      <c r="B23" s="5">
        <v>2030</v>
      </c>
      <c r="C23" s="4">
        <v>5.6625689671861386E-2</v>
      </c>
      <c r="D23" s="2">
        <v>20</v>
      </c>
    </row>
    <row r="24" spans="1:4">
      <c r="A24" s="3" t="s">
        <v>75</v>
      </c>
      <c r="B24" s="5">
        <v>2035</v>
      </c>
      <c r="C24" s="4">
        <v>5.6544958074571681E-2</v>
      </c>
      <c r="D24" s="2">
        <v>21</v>
      </c>
    </row>
    <row r="25" spans="1:4">
      <c r="A25" s="3" t="s">
        <v>75</v>
      </c>
      <c r="B25" s="5">
        <v>2040</v>
      </c>
      <c r="C25" s="4">
        <v>5.6464456348631821E-2</v>
      </c>
      <c r="D25" s="2">
        <v>22</v>
      </c>
    </row>
    <row r="26" spans="1:4">
      <c r="A26" s="2">
        <v>6</v>
      </c>
      <c r="B26" s="5">
        <v>2050</v>
      </c>
      <c r="C26" s="4">
        <v>5.6243239995192887E-2</v>
      </c>
      <c r="D26" s="2">
        <v>23</v>
      </c>
    </row>
    <row r="27" spans="1:4">
      <c r="A27" s="3" t="s">
        <v>75</v>
      </c>
      <c r="B27" s="5">
        <v>2050</v>
      </c>
      <c r="C27" s="4">
        <v>5.6304138594802697E-2</v>
      </c>
      <c r="D27" s="2">
        <v>24</v>
      </c>
    </row>
    <row r="28" spans="1:4">
      <c r="A28" s="3" t="s">
        <v>75</v>
      </c>
      <c r="B28" s="5">
        <v>2047.5</v>
      </c>
      <c r="C28" s="4">
        <v>5.6435858476231823E-2</v>
      </c>
      <c r="D28" s="2">
        <v>25</v>
      </c>
    </row>
    <row r="29" spans="1:4">
      <c r="A29" s="3" t="s">
        <v>75</v>
      </c>
      <c r="B29" s="5">
        <v>2055</v>
      </c>
      <c r="C29" s="4">
        <v>5.6285178236397747E-2</v>
      </c>
      <c r="D29" s="2">
        <v>26</v>
      </c>
    </row>
    <row r="30" spans="1:4">
      <c r="A30" s="2">
        <v>7</v>
      </c>
      <c r="B30" s="5">
        <v>2000</v>
      </c>
      <c r="C30" s="4">
        <v>5.6310913247503307E-2</v>
      </c>
      <c r="D30" s="2">
        <v>1</v>
      </c>
    </row>
    <row r="31" spans="1:4">
      <c r="A31" s="3" t="s">
        <v>75</v>
      </c>
      <c r="B31" s="5">
        <v>1977.5</v>
      </c>
      <c r="C31" s="4">
        <v>5.701476536231178E-2</v>
      </c>
      <c r="D31" s="2">
        <v>2</v>
      </c>
    </row>
    <row r="32" spans="1:4">
      <c r="A32" s="3" t="s">
        <v>75</v>
      </c>
      <c r="B32" s="5">
        <v>1972.5</v>
      </c>
      <c r="C32" s="4">
        <v>5.7222507519624384E-2</v>
      </c>
      <c r="D32" s="2">
        <v>3</v>
      </c>
    </row>
    <row r="33" spans="1:4">
      <c r="A33" s="3" t="s">
        <v>75</v>
      </c>
      <c r="B33" s="5">
        <v>1935</v>
      </c>
      <c r="C33" s="4">
        <v>5.8400718778077267E-2</v>
      </c>
      <c r="D33" s="2">
        <v>4</v>
      </c>
    </row>
    <row r="34" spans="1:4">
      <c r="A34" s="3" t="s">
        <v>75</v>
      </c>
      <c r="B34" s="5">
        <v>1920</v>
      </c>
      <c r="C34" s="4">
        <v>5.8925738460376222E-2</v>
      </c>
      <c r="D34" s="2">
        <v>5</v>
      </c>
    </row>
    <row r="35" spans="1:4">
      <c r="A35" s="2">
        <v>8</v>
      </c>
      <c r="B35" s="5">
        <v>1902.5</v>
      </c>
      <c r="C35" s="4">
        <v>5.9538954760571978E-2</v>
      </c>
      <c r="D35" s="2">
        <v>6</v>
      </c>
    </row>
    <row r="36" spans="1:4">
      <c r="A36" s="3" t="s">
        <v>75</v>
      </c>
      <c r="B36" s="5">
        <v>1920</v>
      </c>
      <c r="C36" s="4">
        <v>5.9059589611569624E-2</v>
      </c>
      <c r="D36" s="2">
        <v>7</v>
      </c>
    </row>
    <row r="37" spans="1:4">
      <c r="A37" s="3" t="s">
        <v>75</v>
      </c>
      <c r="B37" s="5">
        <v>1920</v>
      </c>
      <c r="C37" s="4">
        <v>5.9126743480897512E-2</v>
      </c>
      <c r="D37" s="2">
        <v>8</v>
      </c>
    </row>
    <row r="38" spans="1:4">
      <c r="A38" s="3" t="s">
        <v>75</v>
      </c>
      <c r="B38" s="5">
        <v>1875</v>
      </c>
      <c r="C38" s="4">
        <v>6.0629615235134084E-2</v>
      </c>
      <c r="D38" s="2">
        <v>9</v>
      </c>
    </row>
    <row r="39" spans="1:4">
      <c r="A39" s="2">
        <v>9</v>
      </c>
      <c r="B39" s="5">
        <v>1987.5</v>
      </c>
      <c r="C39" s="4">
        <v>5.7226705796038148E-2</v>
      </c>
      <c r="D39" s="2">
        <v>10</v>
      </c>
    </row>
    <row r="40" spans="1:4">
      <c r="A40" s="3" t="s">
        <v>75</v>
      </c>
      <c r="B40" s="5">
        <v>1907.5</v>
      </c>
      <c r="C40" s="4">
        <v>5.9722824838569714E-2</v>
      </c>
      <c r="D40" s="2">
        <v>11</v>
      </c>
    </row>
    <row r="41" spans="1:4">
      <c r="A41" s="3" t="s">
        <v>75</v>
      </c>
      <c r="B41" s="5">
        <v>1897.5</v>
      </c>
      <c r="C41" s="4">
        <v>6.0110974106041923E-2</v>
      </c>
      <c r="D41" s="2">
        <v>12</v>
      </c>
    </row>
    <row r="42" spans="1:4">
      <c r="A42" s="3" t="s">
        <v>75</v>
      </c>
      <c r="B42" s="5">
        <v>1870</v>
      </c>
      <c r="C42" s="4">
        <v>6.1079063454360365E-2</v>
      </c>
      <c r="D42" s="2">
        <v>13</v>
      </c>
    </row>
    <row r="43" spans="1:4">
      <c r="A43" s="2">
        <v>10</v>
      </c>
      <c r="B43" s="5">
        <v>1855</v>
      </c>
      <c r="C43" s="4">
        <v>6.1653580650260845E-2</v>
      </c>
      <c r="D43" s="2">
        <v>14</v>
      </c>
    </row>
    <row r="44" spans="1:4">
      <c r="A44" s="3" t="s">
        <v>75</v>
      </c>
      <c r="B44" s="5">
        <v>1837.5</v>
      </c>
      <c r="C44" s="4">
        <v>6.2325209748302038E-2</v>
      </c>
      <c r="D44" s="2">
        <v>15</v>
      </c>
    </row>
    <row r="45" spans="1:4">
      <c r="A45" s="3" t="s">
        <v>75</v>
      </c>
      <c r="B45" s="5">
        <v>1765</v>
      </c>
      <c r="C45" s="4">
        <v>6.5014447655034446E-2</v>
      </c>
      <c r="D45" s="2">
        <v>16</v>
      </c>
    </row>
    <row r="46" spans="1:4">
      <c r="A46" s="3" t="s">
        <v>75</v>
      </c>
      <c r="B46" s="5">
        <v>1775</v>
      </c>
      <c r="C46" s="4">
        <v>6.4721338680680404E-2</v>
      </c>
      <c r="D46" s="2">
        <v>17</v>
      </c>
    </row>
    <row r="47" spans="1:4">
      <c r="A47" s="3" t="s">
        <v>75</v>
      </c>
      <c r="B47" s="5">
        <v>1800</v>
      </c>
      <c r="C47" s="4">
        <v>6.3882063882063883E-2</v>
      </c>
      <c r="D47" s="2">
        <v>18</v>
      </c>
    </row>
    <row r="48" spans="1:4">
      <c r="A48" s="2">
        <v>11</v>
      </c>
      <c r="B48" s="5">
        <v>1810</v>
      </c>
      <c r="C48" s="4">
        <v>6.3599054167912381E-2</v>
      </c>
      <c r="D48" s="2">
        <v>19</v>
      </c>
    </row>
    <row r="49" spans="1:4">
      <c r="A49" s="3" t="s">
        <v>75</v>
      </c>
      <c r="B49" s="5">
        <v>1805</v>
      </c>
      <c r="C49" s="4">
        <v>6.3857657460975881E-2</v>
      </c>
      <c r="D49" s="2">
        <v>20</v>
      </c>
    </row>
    <row r="50" spans="1:4">
      <c r="A50" s="3" t="s">
        <v>75</v>
      </c>
      <c r="B50" s="5">
        <v>1805</v>
      </c>
      <c r="C50" s="4">
        <v>6.3936173119484144E-2</v>
      </c>
      <c r="D50" s="2">
        <v>21</v>
      </c>
    </row>
    <row r="51" spans="1:4">
      <c r="A51" s="3" t="s">
        <v>75</v>
      </c>
      <c r="B51" s="5">
        <v>1802.5</v>
      </c>
      <c r="C51" s="4">
        <v>6.4106076379376473E-2</v>
      </c>
      <c r="D51" s="2">
        <v>22</v>
      </c>
    </row>
    <row r="52" spans="1:4">
      <c r="A52" s="2">
        <v>12</v>
      </c>
      <c r="B52" s="5">
        <v>1815</v>
      </c>
      <c r="C52" s="4">
        <v>6.3730696952365384E-2</v>
      </c>
      <c r="D52" s="2">
        <v>23</v>
      </c>
    </row>
    <row r="53" spans="1:4">
      <c r="A53" s="3" t="s">
        <v>75</v>
      </c>
      <c r="B53" s="5">
        <v>1822.5</v>
      </c>
      <c r="C53" s="4">
        <v>6.3538611925708699E-2</v>
      </c>
      <c r="D53" s="2">
        <v>24</v>
      </c>
    </row>
    <row r="54" spans="1:4">
      <c r="A54" s="3" t="s">
        <v>75</v>
      </c>
      <c r="B54" s="5">
        <v>1832.5</v>
      </c>
      <c r="C54" s="4">
        <v>6.3258630477683764E-2</v>
      </c>
      <c r="D54" s="2">
        <v>25</v>
      </c>
    </row>
    <row r="55" spans="1:4">
      <c r="A55" s="3" t="s">
        <v>75</v>
      </c>
      <c r="B55" s="5">
        <v>1822.5</v>
      </c>
      <c r="C55" s="4">
        <v>6.3694267515923567E-2</v>
      </c>
      <c r="D55" s="2">
        <v>26</v>
      </c>
    </row>
    <row r="56" spans="1:4">
      <c r="A56" s="2">
        <v>1789</v>
      </c>
      <c r="B56" s="2">
        <v>1757.5</v>
      </c>
      <c r="C56" s="4">
        <v>6.4090274163950592E-2</v>
      </c>
      <c r="D56" s="2">
        <v>1</v>
      </c>
    </row>
    <row r="57" spans="1:4">
      <c r="A57" s="3" t="s">
        <v>75</v>
      </c>
      <c r="B57" s="2">
        <v>1752.5</v>
      </c>
      <c r="C57" s="4">
        <v>6.435289588031462E-2</v>
      </c>
      <c r="D57" s="2">
        <v>2</v>
      </c>
    </row>
    <row r="58" spans="1:4">
      <c r="A58" s="3" t="s">
        <v>75</v>
      </c>
      <c r="B58" s="2">
        <v>1755</v>
      </c>
      <c r="C58" s="4">
        <v>6.4340509774808222E-2</v>
      </c>
      <c r="D58" s="2">
        <v>3</v>
      </c>
    </row>
    <row r="59" spans="1:4">
      <c r="A59" s="3" t="s">
        <v>75</v>
      </c>
      <c r="B59" s="2">
        <v>1777.5</v>
      </c>
      <c r="C59" s="4">
        <v>6.3600782778864967E-2</v>
      </c>
      <c r="D59" s="2">
        <v>4</v>
      </c>
    </row>
    <row r="60" spans="1:4">
      <c r="A60" s="3" t="s">
        <v>75</v>
      </c>
      <c r="B60" s="2">
        <v>1797.5</v>
      </c>
      <c r="C60" s="4">
        <v>6.2965853133492997E-2</v>
      </c>
      <c r="D60" s="2">
        <v>5</v>
      </c>
    </row>
    <row r="61" spans="1:4">
      <c r="A61" s="2">
        <v>2</v>
      </c>
      <c r="B61" s="2">
        <v>1825</v>
      </c>
      <c r="C61" s="4">
        <v>6.2085433802069517E-2</v>
      </c>
      <c r="D61" s="2">
        <v>6</v>
      </c>
    </row>
    <row r="62" spans="1:4">
      <c r="A62" s="3" t="s">
        <v>75</v>
      </c>
      <c r="B62" s="2">
        <v>1842.5</v>
      </c>
      <c r="C62" s="4">
        <v>6.1564366334289244E-2</v>
      </c>
      <c r="D62" s="2">
        <v>7</v>
      </c>
    </row>
    <row r="63" spans="1:4">
      <c r="A63" s="3" t="s">
        <v>75</v>
      </c>
      <c r="B63" s="2">
        <v>1842.5</v>
      </c>
      <c r="C63" s="4">
        <v>6.1637340638499634E-2</v>
      </c>
      <c r="D63" s="2">
        <v>8</v>
      </c>
    </row>
    <row r="64" spans="1:4">
      <c r="A64" s="3" t="s">
        <v>75</v>
      </c>
      <c r="B64" s="2">
        <v>1830</v>
      </c>
      <c r="C64" s="4">
        <v>6.2136541065880666E-2</v>
      </c>
      <c r="D64" s="2">
        <v>9</v>
      </c>
    </row>
    <row r="65" spans="1:4">
      <c r="A65" s="2">
        <v>3</v>
      </c>
      <c r="B65" s="2">
        <v>1837.5</v>
      </c>
      <c r="C65" s="4">
        <v>6.1953931691818905E-2</v>
      </c>
      <c r="D65" s="2">
        <v>10</v>
      </c>
    </row>
    <row r="66" spans="1:4">
      <c r="A66" s="3" t="s">
        <v>75</v>
      </c>
      <c r="B66" s="2">
        <v>1825</v>
      </c>
      <c r="C66" s="4">
        <v>6.2458294408114241E-2</v>
      </c>
      <c r="D66" s="2">
        <v>11</v>
      </c>
    </row>
    <row r="67" spans="1:4">
      <c r="A67" s="3" t="s">
        <v>75</v>
      </c>
      <c r="B67" s="2">
        <v>1822.5</v>
      </c>
      <c r="C67" s="4">
        <v>6.2620423892100194E-2</v>
      </c>
      <c r="D67" s="2">
        <v>12</v>
      </c>
    </row>
    <row r="68" spans="1:4">
      <c r="A68" s="3" t="s">
        <v>75</v>
      </c>
      <c r="B68" s="2">
        <v>1830</v>
      </c>
      <c r="C68" s="4">
        <v>6.2434963579604576E-2</v>
      </c>
      <c r="D68" s="2">
        <v>13</v>
      </c>
    </row>
    <row r="69" spans="1:4">
      <c r="A69" s="3" t="s">
        <v>75</v>
      </c>
      <c r="B69" s="2">
        <v>1835</v>
      </c>
      <c r="C69" s="4">
        <v>6.2336832010229631E-2</v>
      </c>
      <c r="D69" s="2">
        <v>14</v>
      </c>
    </row>
    <row r="70" spans="1:4">
      <c r="A70" s="2">
        <v>4</v>
      </c>
      <c r="D70" s="2">
        <v>15</v>
      </c>
    </row>
    <row r="71" spans="1:4">
      <c r="A71" s="3" t="s">
        <v>75</v>
      </c>
      <c r="D71" s="2">
        <v>16</v>
      </c>
    </row>
    <row r="72" spans="1:4">
      <c r="A72" s="3" t="s">
        <v>75</v>
      </c>
      <c r="B72" s="2">
        <v>1817.5</v>
      </c>
      <c r="C72" s="4">
        <v>6.3176651637463208E-2</v>
      </c>
      <c r="D72" s="2">
        <v>17</v>
      </c>
    </row>
    <row r="73" spans="1:4">
      <c r="A73" s="3" t="s">
        <v>75</v>
      </c>
      <c r="B73" s="2">
        <v>1820</v>
      </c>
      <c r="C73" s="4">
        <v>6.3164714139178318E-2</v>
      </c>
      <c r="D73" s="2">
        <v>18</v>
      </c>
    </row>
    <row r="74" spans="1:4">
      <c r="A74" s="2">
        <v>5</v>
      </c>
      <c r="B74" s="2">
        <v>1827.5</v>
      </c>
      <c r="C74" s="4">
        <v>6.2976020669052932E-2</v>
      </c>
      <c r="D74" s="2">
        <v>19</v>
      </c>
    </row>
    <row r="75" spans="1:4">
      <c r="A75" s="3" t="s">
        <v>75</v>
      </c>
      <c r="B75" s="2">
        <v>1815</v>
      </c>
      <c r="C75" s="4">
        <v>6.349723217193097E-2</v>
      </c>
      <c r="D75" s="2">
        <v>20</v>
      </c>
    </row>
    <row r="76" spans="1:4">
      <c r="A76" s="3" t="s">
        <v>75</v>
      </c>
      <c r="B76" s="2">
        <v>1807.5</v>
      </c>
      <c r="C76" s="4">
        <v>6.3845461242530904E-2</v>
      </c>
      <c r="D76" s="2">
        <v>21</v>
      </c>
    </row>
    <row r="77" spans="1:4">
      <c r="A77" s="3" t="s">
        <v>75</v>
      </c>
      <c r="B77" s="2">
        <v>1805</v>
      </c>
      <c r="C77" s="4">
        <v>6.401488209224708E-2</v>
      </c>
      <c r="D77" s="2">
        <v>22</v>
      </c>
    </row>
    <row r="78" spans="1:4">
      <c r="A78" s="2">
        <v>6</v>
      </c>
      <c r="B78" s="2">
        <v>1800</v>
      </c>
      <c r="C78" s="4">
        <v>6.4276885043263288E-2</v>
      </c>
      <c r="D78" s="2">
        <v>23</v>
      </c>
    </row>
    <row r="79" spans="1:4">
      <c r="A79" s="3" t="s">
        <v>75</v>
      </c>
      <c r="B79" s="2">
        <v>1797.5</v>
      </c>
      <c r="C79" s="4">
        <v>6.4448606367742647E-2</v>
      </c>
      <c r="D79" s="2">
        <v>24</v>
      </c>
    </row>
    <row r="80" spans="1:4">
      <c r="A80" s="3" t="s">
        <v>75</v>
      </c>
      <c r="B80" s="2">
        <v>1797.5</v>
      </c>
      <c r="C80" s="4">
        <v>6.4528582853045802E-2</v>
      </c>
      <c r="D80" s="2">
        <v>25</v>
      </c>
    </row>
    <row r="81" spans="1:12">
      <c r="A81" s="3" t="s">
        <v>75</v>
      </c>
      <c r="B81" s="2">
        <v>1820</v>
      </c>
      <c r="C81" s="4">
        <v>6.3784549964564133E-2</v>
      </c>
      <c r="D81" s="2">
        <v>26</v>
      </c>
    </row>
    <row r="82" spans="1:12">
      <c r="A82" s="2">
        <v>7</v>
      </c>
      <c r="B82" s="2">
        <v>1825</v>
      </c>
      <c r="C82" s="4">
        <v>6.1716998549386788E-2</v>
      </c>
      <c r="D82" s="2">
        <v>1</v>
      </c>
    </row>
    <row r="83" spans="1:12">
      <c r="A83" s="3" t="s">
        <v>75</v>
      </c>
      <c r="B83" s="2">
        <v>1807.5</v>
      </c>
      <c r="C83" s="4">
        <v>6.2390017597184454E-2</v>
      </c>
      <c r="D83" s="2">
        <v>2</v>
      </c>
    </row>
    <row r="84" spans="1:12">
      <c r="A84" s="3" t="s">
        <v>75</v>
      </c>
      <c r="B84" s="2">
        <v>1775</v>
      </c>
      <c r="C84" s="4">
        <v>6.3612885687100718E-2</v>
      </c>
      <c r="D84" s="2">
        <v>3</v>
      </c>
    </row>
    <row r="85" spans="1:12">
      <c r="A85" s="3" t="s">
        <v>75</v>
      </c>
      <c r="B85" s="2">
        <v>1805</v>
      </c>
      <c r="C85" s="4">
        <v>6.2627127716518571E-2</v>
      </c>
      <c r="D85" s="2">
        <v>4</v>
      </c>
    </row>
    <row r="86" spans="1:12">
      <c r="A86" s="3" t="s">
        <v>75</v>
      </c>
      <c r="B86" s="2">
        <v>1810</v>
      </c>
      <c r="C86" s="4">
        <v>6.2528391630815278E-2</v>
      </c>
      <c r="D86" s="2">
        <v>5</v>
      </c>
    </row>
    <row r="87" spans="1:12">
      <c r="A87" s="2">
        <v>8</v>
      </c>
      <c r="B87" s="2">
        <v>1802.5</v>
      </c>
      <c r="C87" s="4">
        <v>6.2866046961474395E-2</v>
      </c>
      <c r="D87" s="2">
        <v>6</v>
      </c>
    </row>
    <row r="88" spans="1:12">
      <c r="A88" s="3" t="s">
        <v>75</v>
      </c>
      <c r="B88" s="2">
        <v>1795</v>
      </c>
      <c r="C88" s="4">
        <v>6.3207368790686363E-2</v>
      </c>
      <c r="D88" s="2">
        <v>7</v>
      </c>
    </row>
    <row r="89" spans="1:12">
      <c r="A89" s="3" t="s">
        <v>75</v>
      </c>
      <c r="B89" s="2">
        <v>1780</v>
      </c>
      <c r="C89" s="4">
        <v>6.3822823478071139E-2</v>
      </c>
      <c r="D89" s="2">
        <v>8</v>
      </c>
      <c r="I89" s="2" t="s">
        <v>79</v>
      </c>
    </row>
    <row r="90" spans="1:12">
      <c r="B90" s="2">
        <v>1752.5</v>
      </c>
      <c r="C90" s="4">
        <v>6.4915249535328873E-2</v>
      </c>
      <c r="D90" s="2">
        <v>9</v>
      </c>
      <c r="I90" s="2" t="s">
        <v>45</v>
      </c>
      <c r="J90" s="2" t="s">
        <v>78</v>
      </c>
      <c r="K90" s="2" t="s">
        <v>77</v>
      </c>
      <c r="L90" s="2" t="s">
        <v>76</v>
      </c>
    </row>
    <row r="91" spans="1:12">
      <c r="A91" s="2">
        <v>9</v>
      </c>
      <c r="B91" s="2">
        <v>1985</v>
      </c>
      <c r="C91" s="4">
        <v>5.7299573926245163E-2</v>
      </c>
      <c r="D91" s="2">
        <v>10</v>
      </c>
      <c r="E91" s="4">
        <f>56.25/(B91*24/F91-D91/26*56.25)*2</f>
        <v>5.8144536302450783E-2</v>
      </c>
      <c r="F91" s="2">
        <v>24.35</v>
      </c>
      <c r="I91" s="2">
        <v>9</v>
      </c>
      <c r="J91" s="2">
        <v>24.35</v>
      </c>
      <c r="K91" s="2">
        <v>6.066142587409918E-2</v>
      </c>
      <c r="L91" s="2">
        <v>5.9701457071096413E-2</v>
      </c>
    </row>
    <row r="92" spans="1:12">
      <c r="A92" s="3" t="s">
        <v>75</v>
      </c>
      <c r="B92" s="2">
        <v>1937.5</v>
      </c>
      <c r="C92" s="4">
        <v>5.8786584599924634E-2</v>
      </c>
      <c r="D92" s="2">
        <v>11</v>
      </c>
      <c r="E92" s="4">
        <v>5.9704324045292571E-2</v>
      </c>
      <c r="F92" s="2">
        <v>24.37</v>
      </c>
      <c r="I92" s="2">
        <v>10</v>
      </c>
      <c r="J92" s="2">
        <v>24.45</v>
      </c>
      <c r="K92" s="2">
        <v>6.4163007178742543E-2</v>
      </c>
      <c r="L92" s="2">
        <v>6.2826258021549439E-2</v>
      </c>
    </row>
    <row r="93" spans="1:12">
      <c r="A93" s="3" t="s">
        <v>75</v>
      </c>
      <c r="B93" s="2">
        <v>1897.5</v>
      </c>
      <c r="C93" s="4">
        <v>6.0110974106041923E-2</v>
      </c>
      <c r="D93" s="2">
        <v>12</v>
      </c>
      <c r="E93" s="4">
        <v>6.1101550711762632E-2</v>
      </c>
      <c r="F93" s="2">
        <v>24.39</v>
      </c>
      <c r="I93" s="2">
        <v>11</v>
      </c>
      <c r="J93" s="2">
        <v>24.550000000000008</v>
      </c>
      <c r="K93" s="2">
        <v>6.487945024634173E-2</v>
      </c>
      <c r="L93" s="2">
        <v>6.3091904918644928E-2</v>
      </c>
    </row>
    <row r="94" spans="1:12">
      <c r="A94" s="3" t="s">
        <v>75</v>
      </c>
      <c r="B94" s="2">
        <v>1825</v>
      </c>
      <c r="C94" s="4">
        <v>6.2608695652173918E-2</v>
      </c>
      <c r="D94" s="2">
        <v>13</v>
      </c>
      <c r="E94" s="4">
        <v>6.3695292436890733E-2</v>
      </c>
      <c r="F94" s="2">
        <v>24.41</v>
      </c>
      <c r="I94" s="2">
        <v>12</v>
      </c>
      <c r="J94" s="2">
        <v>24.850000000000005</v>
      </c>
      <c r="K94" s="2">
        <v>6.5097139416381719E-2</v>
      </c>
      <c r="L94" s="2">
        <v>6.2610333351908992E-2</v>
      </c>
    </row>
    <row r="95" spans="1:12">
      <c r="A95" s="3" t="s">
        <v>75</v>
      </c>
      <c r="B95" s="2">
        <v>1850</v>
      </c>
      <c r="C95" s="4">
        <v>6.1822985468956405E-2</v>
      </c>
      <c r="D95" s="2">
        <v>14</v>
      </c>
      <c r="E95" s="4">
        <v>6.2949419856714206E-2</v>
      </c>
      <c r="F95" s="2">
        <v>24.43</v>
      </c>
      <c r="I95" s="2">
        <v>1790</v>
      </c>
      <c r="J95" s="2">
        <v>25.050000000000008</v>
      </c>
      <c r="K95" s="2">
        <v>6.6310778584369304E-2</v>
      </c>
      <c r="L95" s="2">
        <v>6.3715564596034627E-2</v>
      </c>
    </row>
    <row r="96" spans="1:12">
      <c r="A96" s="2">
        <v>10</v>
      </c>
      <c r="D96" s="2">
        <v>15</v>
      </c>
      <c r="F96" s="2">
        <v>24.45</v>
      </c>
      <c r="I96" s="2">
        <v>2</v>
      </c>
      <c r="J96" s="2">
        <v>24.850000000000005</v>
      </c>
      <c r="K96" s="2">
        <v>6.7132926001292337E-2</v>
      </c>
      <c r="L96" s="2">
        <v>6.4669633034990251E-2</v>
      </c>
    </row>
    <row r="97" spans="1:12">
      <c r="A97" s="3" t="s">
        <v>75</v>
      </c>
      <c r="B97" s="2">
        <v>1840</v>
      </c>
      <c r="C97" s="4">
        <v>6.2313591819343844E-2</v>
      </c>
      <c r="D97" s="2">
        <v>16</v>
      </c>
      <c r="E97" s="4">
        <v>6.3571005188110638E-2</v>
      </c>
      <c r="F97" s="2">
        <v>24.475000000000001</v>
      </c>
      <c r="I97" s="2">
        <v>3</v>
      </c>
      <c r="J97" s="2">
        <v>25.000000000000011</v>
      </c>
      <c r="K97" s="2">
        <v>6.9544944756759347E-2</v>
      </c>
      <c r="L97" s="2">
        <v>6.6498374634445315E-2</v>
      </c>
    </row>
    <row r="98" spans="1:12">
      <c r="A98" s="3" t="s">
        <v>75</v>
      </c>
      <c r="B98" s="2">
        <v>1825</v>
      </c>
      <c r="C98" s="4">
        <v>6.291168167764484E-2</v>
      </c>
      <c r="D98" s="2">
        <v>17</v>
      </c>
      <c r="E98" s="4">
        <v>6.4249871819656565E-2</v>
      </c>
      <c r="F98" s="2">
        <v>24.500000000000004</v>
      </c>
      <c r="I98" s="2">
        <v>4</v>
      </c>
      <c r="J98" s="2">
        <v>25.250000000000014</v>
      </c>
      <c r="K98" s="2">
        <v>6.6709711045992728E-2</v>
      </c>
      <c r="L98" s="2">
        <v>6.3028203288636828E-2</v>
      </c>
    </row>
    <row r="99" spans="1:12">
      <c r="A99" s="3" t="s">
        <v>75</v>
      </c>
      <c r="B99" s="2">
        <v>1817.5</v>
      </c>
      <c r="C99" s="4">
        <v>6.3253500567659618E-2</v>
      </c>
      <c r="D99" s="2">
        <v>18</v>
      </c>
      <c r="E99" s="4">
        <v>6.4668144528460411E-2</v>
      </c>
      <c r="F99" s="2">
        <v>24.525000000000006</v>
      </c>
      <c r="I99" s="2">
        <v>5</v>
      </c>
      <c r="J99" s="2">
        <v>25.500000000000014</v>
      </c>
      <c r="K99" s="2">
        <v>6.6402568512980306E-2</v>
      </c>
      <c r="L99" s="2">
        <v>6.2405056223953051E-2</v>
      </c>
    </row>
    <row r="100" spans="1:12">
      <c r="A100" s="2">
        <v>11</v>
      </c>
      <c r="B100" s="2">
        <v>1835</v>
      </c>
      <c r="C100" s="4">
        <v>6.2712727467638618E-2</v>
      </c>
      <c r="D100" s="2">
        <v>19</v>
      </c>
      <c r="E100" s="4">
        <v>6.4183598139416417E-2</v>
      </c>
      <c r="F100" s="2">
        <v>24.550000000000008</v>
      </c>
      <c r="I100" s="2">
        <v>6</v>
      </c>
      <c r="J100" s="2">
        <v>25.500000000000014</v>
      </c>
      <c r="K100" s="2">
        <v>6.5477714741238188E-2</v>
      </c>
      <c r="L100" s="2">
        <v>6.198198986814217E-2</v>
      </c>
    </row>
    <row r="101" spans="1:12">
      <c r="A101" s="3" t="s">
        <v>75</v>
      </c>
      <c r="B101" s="2">
        <v>1830</v>
      </c>
      <c r="C101" s="4">
        <v>6.2964158863416206E-2</v>
      </c>
      <c r="D101" s="2">
        <v>20</v>
      </c>
      <c r="E101" s="4">
        <v>6.4644618669951498E-2</v>
      </c>
      <c r="F101" s="2">
        <v>24.625000000000007</v>
      </c>
      <c r="I101" s="2">
        <v>7</v>
      </c>
      <c r="J101" s="2">
        <v>25.000000000000014</v>
      </c>
      <c r="K101" s="2">
        <v>6.4568476917748183E-2</v>
      </c>
      <c r="L101" s="2">
        <v>6.1977911899766147E-2</v>
      </c>
    </row>
    <row r="102" spans="1:12">
      <c r="A102" s="3" t="s">
        <v>75</v>
      </c>
      <c r="B102" s="2">
        <v>1825</v>
      </c>
      <c r="C102" s="4">
        <v>6.3217614480615969E-2</v>
      </c>
      <c r="D102" s="2">
        <v>21</v>
      </c>
      <c r="E102" s="4">
        <v>6.5109944423697927E-2</v>
      </c>
      <c r="F102" s="2">
        <v>24.700000000000006</v>
      </c>
      <c r="I102" s="2">
        <v>8</v>
      </c>
      <c r="J102" s="2">
        <v>25.000000000000014</v>
      </c>
      <c r="K102" s="2">
        <v>6.7525878226938077E-2</v>
      </c>
      <c r="L102" s="2">
        <v>6.4412923098363759E-2</v>
      </c>
    </row>
    <row r="103" spans="1:12">
      <c r="A103" s="3" t="s">
        <v>75</v>
      </c>
      <c r="B103" s="2">
        <v>1820</v>
      </c>
      <c r="C103" s="4">
        <v>6.347311886290892E-2</v>
      </c>
      <c r="D103" s="2">
        <v>22</v>
      </c>
      <c r="E103" s="4">
        <v>6.5579639752301092E-2</v>
      </c>
      <c r="F103" s="2">
        <v>24.775000000000006</v>
      </c>
      <c r="I103" s="2">
        <v>9</v>
      </c>
      <c r="J103" s="2">
        <v>25.500000000000021</v>
      </c>
      <c r="K103" s="2">
        <v>6.6053075812193759E-2</v>
      </c>
      <c r="L103" s="2">
        <v>6.1436728754327673E-2</v>
      </c>
    </row>
    <row r="104" spans="1:12">
      <c r="A104" s="2">
        <v>12</v>
      </c>
      <c r="B104" s="2">
        <v>1822.5</v>
      </c>
      <c r="C104" s="4">
        <v>6.3461069074932874E-2</v>
      </c>
      <c r="D104" s="2">
        <v>23</v>
      </c>
      <c r="E104" s="4">
        <v>6.5774036002148026E-2</v>
      </c>
      <c r="F104" s="2">
        <v>24.850000000000005</v>
      </c>
      <c r="I104" s="2">
        <v>10</v>
      </c>
      <c r="J104" s="2">
        <v>26.250000000000021</v>
      </c>
      <c r="K104" s="2">
        <v>6.1906271775304063E-2</v>
      </c>
      <c r="L104" s="2">
        <v>5.6387356919900621E-2</v>
      </c>
    </row>
    <row r="105" spans="1:12">
      <c r="A105" s="3" t="s">
        <v>75</v>
      </c>
      <c r="B105" s="2">
        <v>1862.5</v>
      </c>
      <c r="C105" s="4">
        <v>6.213489113117366E-2</v>
      </c>
      <c r="D105" s="2">
        <v>24</v>
      </c>
      <c r="E105" s="4">
        <v>6.453435053629103E-2</v>
      </c>
      <c r="F105" s="2">
        <v>24.900000000000006</v>
      </c>
      <c r="I105" s="2">
        <v>11</v>
      </c>
      <c r="J105" s="2">
        <v>26.400000000000027</v>
      </c>
      <c r="K105" s="2">
        <v>6.1896786102517032E-2</v>
      </c>
      <c r="L105" s="2">
        <v>5.6086413923801731E-2</v>
      </c>
    </row>
    <row r="106" spans="1:12">
      <c r="A106" s="3" t="s">
        <v>75</v>
      </c>
      <c r="B106" s="2">
        <v>1870</v>
      </c>
      <c r="C106" s="4">
        <v>6.1952291440523152E-2</v>
      </c>
      <c r="D106" s="2">
        <v>25</v>
      </c>
      <c r="E106" s="4">
        <v>6.4480590964400841E-2</v>
      </c>
      <c r="F106" s="2">
        <v>24.950000000000006</v>
      </c>
      <c r="I106" s="2">
        <v>12</v>
      </c>
      <c r="J106" s="2">
        <v>26.500000000000025</v>
      </c>
      <c r="K106" s="2">
        <v>5.8080342678783856E-2</v>
      </c>
      <c r="L106" s="2">
        <v>5.2771598775649256E-2</v>
      </c>
    </row>
    <row r="107" spans="1:12">
      <c r="A107" s="3" t="s">
        <v>75</v>
      </c>
      <c r="B107" s="2">
        <v>1845</v>
      </c>
      <c r="C107" s="4">
        <v>6.2893081761006289E-2</v>
      </c>
      <c r="D107" s="2">
        <v>26</v>
      </c>
      <c r="E107" s="4">
        <v>6.559958016268698E-2</v>
      </c>
      <c r="F107" s="2">
        <v>25.000000000000007</v>
      </c>
      <c r="I107" s="2">
        <v>1791</v>
      </c>
      <c r="J107" s="2">
        <v>26.100000000000033</v>
      </c>
      <c r="K107" s="2">
        <v>5.4404914875840024E-2</v>
      </c>
      <c r="L107" s="2">
        <v>4.9946109584734229E-2</v>
      </c>
    </row>
    <row r="108" spans="1:12">
      <c r="A108" s="2">
        <v>1790</v>
      </c>
      <c r="B108" s="2">
        <v>1795</v>
      </c>
      <c r="C108" s="4">
        <v>6.2749725134751008E-2</v>
      </c>
      <c r="D108" s="2">
        <v>1</v>
      </c>
      <c r="E108" s="4">
        <v>6.549848355204993E-2</v>
      </c>
      <c r="F108" s="2">
        <v>25.050000000000008</v>
      </c>
      <c r="I108" s="2">
        <v>2</v>
      </c>
      <c r="J108" s="2">
        <v>26.200000000000028</v>
      </c>
      <c r="K108" s="2">
        <v>5.4120805986022938E-2</v>
      </c>
      <c r="L108" s="2">
        <v>4.9512420757074356E-2</v>
      </c>
    </row>
    <row r="109" spans="1:12">
      <c r="A109" s="3" t="s">
        <v>75</v>
      </c>
      <c r="B109" s="2">
        <v>1775</v>
      </c>
      <c r="C109" s="4">
        <v>6.3535161553081726E-2</v>
      </c>
      <c r="D109" s="2">
        <v>2</v>
      </c>
      <c r="E109" s="4">
        <v>6.618919928040462E-2</v>
      </c>
      <c r="F109" s="2">
        <v>25.000000000000007</v>
      </c>
      <c r="I109" s="2">
        <v>3</v>
      </c>
      <c r="J109" s="2">
        <v>26.250000000000025</v>
      </c>
      <c r="K109" s="2">
        <v>5.4418238855446534E-2</v>
      </c>
      <c r="L109" s="2">
        <v>4.9613604946389729E-2</v>
      </c>
    </row>
    <row r="110" spans="1:12">
      <c r="A110" s="3" t="s">
        <v>75</v>
      </c>
      <c r="B110" s="2">
        <v>1752.5</v>
      </c>
      <c r="C110" s="4">
        <v>6.4432634854200518E-2</v>
      </c>
      <c r="D110" s="2">
        <v>3</v>
      </c>
      <c r="E110" s="4">
        <v>6.6992950782849531E-2</v>
      </c>
      <c r="F110" s="2">
        <v>24.950000000000006</v>
      </c>
      <c r="I110" s="2">
        <v>4</v>
      </c>
      <c r="J110" s="2">
        <v>26.500000000000028</v>
      </c>
      <c r="K110" s="2">
        <v>5.5503809655565846E-2</v>
      </c>
      <c r="L110" s="2">
        <v>5.0009525290151076E-2</v>
      </c>
    </row>
    <row r="111" spans="1:12">
      <c r="A111" s="3" t="s">
        <v>75</v>
      </c>
      <c r="B111" s="2">
        <v>1762.5</v>
      </c>
      <c r="C111" s="4">
        <v>6.4144736842105268E-2</v>
      </c>
      <c r="D111" s="2">
        <v>4</v>
      </c>
      <c r="E111" s="4">
        <v>6.656248072217312E-2</v>
      </c>
      <c r="F111" s="2">
        <v>24.900000000000006</v>
      </c>
      <c r="I111" s="2">
        <v>5</v>
      </c>
      <c r="J111" s="2">
        <v>26.750000000000028</v>
      </c>
      <c r="K111" s="2">
        <v>5.7153654951200936E-2</v>
      </c>
      <c r="L111" s="2">
        <v>5.0300624172017548E-2</v>
      </c>
    </row>
    <row r="112" spans="1:12">
      <c r="A112" s="2">
        <v>2</v>
      </c>
      <c r="B112" s="2">
        <v>1765</v>
      </c>
      <c r="C112" s="4">
        <v>6.4132430728752701E-2</v>
      </c>
      <c r="D112" s="2">
        <v>5</v>
      </c>
      <c r="E112" s="4">
        <v>6.6418293386012017E-2</v>
      </c>
      <c r="F112" s="2">
        <v>24.850000000000005</v>
      </c>
      <c r="I112" s="2">
        <v>6</v>
      </c>
      <c r="J112" s="2">
        <v>28.250000000000032</v>
      </c>
      <c r="K112" s="2">
        <v>5.9426460008648103E-2</v>
      </c>
      <c r="L112" s="2">
        <v>5.0446195962415896E-2</v>
      </c>
    </row>
    <row r="113" spans="1:12">
      <c r="A113" s="3" t="s">
        <v>75</v>
      </c>
      <c r="B113" s="2">
        <v>1760</v>
      </c>
      <c r="C113" s="4">
        <v>6.4395398756123073E-2</v>
      </c>
      <c r="D113" s="2">
        <v>6</v>
      </c>
      <c r="E113" s="4">
        <v>6.6795039813023108E-2</v>
      </c>
      <c r="F113" s="2">
        <v>24.887500000000006</v>
      </c>
      <c r="I113" s="2">
        <v>7</v>
      </c>
      <c r="J113" s="2">
        <v>28.000000000000032</v>
      </c>
      <c r="K113" s="2">
        <v>6.0034770194273508E-2</v>
      </c>
      <c r="L113" s="2">
        <v>5.0585782071265406E-2</v>
      </c>
    </row>
    <row r="114" spans="1:12">
      <c r="A114" s="3" t="s">
        <v>75</v>
      </c>
      <c r="B114" s="2">
        <v>1740</v>
      </c>
      <c r="C114" s="4">
        <v>6.5222844719458148E-2</v>
      </c>
      <c r="D114" s="2">
        <v>7</v>
      </c>
      <c r="E114" s="4">
        <v>6.7759571411954017E-2</v>
      </c>
      <c r="F114" s="2">
        <v>24.925000000000008</v>
      </c>
      <c r="I114" s="2">
        <v>8</v>
      </c>
      <c r="J114" s="2">
        <v>29.250000000000032</v>
      </c>
      <c r="K114" s="2">
        <v>6.3138151992112743E-2</v>
      </c>
      <c r="L114" s="2">
        <v>5.1465767581886146E-2</v>
      </c>
    </row>
    <row r="115" spans="1:12">
      <c r="A115" s="3" t="s">
        <v>75</v>
      </c>
      <c r="B115" s="2">
        <v>1750</v>
      </c>
      <c r="C115" s="4">
        <v>6.4927857935627081E-2</v>
      </c>
      <c r="D115" s="2">
        <v>8</v>
      </c>
      <c r="E115" s="4">
        <v>6.7558799394180205E-2</v>
      </c>
      <c r="F115" s="2">
        <v>24.962500000000009</v>
      </c>
      <c r="I115" s="2">
        <v>9</v>
      </c>
      <c r="J115" s="2">
        <v>29.750000000000039</v>
      </c>
      <c r="K115" s="2">
        <v>6.2785890658076965E-2</v>
      </c>
      <c r="L115" s="2">
        <v>5.067617009929213E-2</v>
      </c>
    </row>
    <row r="116" spans="1:12">
      <c r="A116" s="2">
        <v>3</v>
      </c>
      <c r="B116" s="2">
        <v>1732.5</v>
      </c>
      <c r="C116" s="4">
        <v>6.5673149785299312E-2</v>
      </c>
      <c r="D116" s="2">
        <v>9</v>
      </c>
      <c r="E116" s="4">
        <v>6.8441945435975218E-2</v>
      </c>
      <c r="F116" s="2">
        <v>25.000000000000011</v>
      </c>
      <c r="I116" s="2">
        <v>10</v>
      </c>
      <c r="J116" s="2">
        <v>29.500000000000039</v>
      </c>
      <c r="K116" s="2">
        <v>6.1213180411158634E-2</v>
      </c>
      <c r="L116" s="2">
        <v>4.9760269446066714E-2</v>
      </c>
    </row>
    <row r="117" spans="1:12">
      <c r="A117" s="3" t="s">
        <v>75</v>
      </c>
      <c r="D117" s="2">
        <v>10</v>
      </c>
      <c r="F117" s="2">
        <v>25.050000000000011</v>
      </c>
      <c r="I117" s="2">
        <v>11</v>
      </c>
      <c r="J117" s="2">
        <v>29.250000000000036</v>
      </c>
      <c r="K117" s="2">
        <v>6.2279131756502543E-2</v>
      </c>
      <c r="L117" s="2">
        <v>4.9578858185869164E-2</v>
      </c>
    </row>
    <row r="118" spans="1:12">
      <c r="A118" s="3" t="s">
        <v>75</v>
      </c>
      <c r="B118" s="2">
        <v>1712.5</v>
      </c>
      <c r="C118" s="4">
        <v>6.6619217081850535E-2</v>
      </c>
      <c r="D118" s="2">
        <v>11</v>
      </c>
      <c r="E118" s="4">
        <v>6.9717629002362766E-2</v>
      </c>
      <c r="F118" s="2">
        <v>25.100000000000012</v>
      </c>
      <c r="I118" s="2">
        <v>12</v>
      </c>
      <c r="J118" s="2">
        <v>31.250000000000036</v>
      </c>
      <c r="K118" s="2">
        <v>6.8332563620116971E-2</v>
      </c>
      <c r="L118" s="2">
        <v>4.9639147934262474E-2</v>
      </c>
    </row>
    <row r="119" spans="1:12">
      <c r="A119" s="3" t="s">
        <v>75</v>
      </c>
      <c r="B119" s="2">
        <v>1700</v>
      </c>
      <c r="C119" s="4">
        <v>6.7202757036186098E-2</v>
      </c>
      <c r="D119" s="2">
        <v>12</v>
      </c>
      <c r="E119" s="4">
        <v>7.0475259831940057E-2</v>
      </c>
      <c r="F119" s="2">
        <v>25.150000000000013</v>
      </c>
      <c r="I119" s="2">
        <v>1792</v>
      </c>
      <c r="J119" s="2">
        <v>35.250000000000036</v>
      </c>
      <c r="K119" s="2">
        <v>7.6289508030118108E-2</v>
      </c>
      <c r="L119" s="2">
        <v>5.0678616403231999E-2</v>
      </c>
    </row>
    <row r="120" spans="1:12">
      <c r="A120" s="3" t="s">
        <v>75</v>
      </c>
      <c r="D120" s="2">
        <v>13</v>
      </c>
      <c r="F120" s="2">
        <v>25.200000000000014</v>
      </c>
      <c r="I120" s="2">
        <v>2</v>
      </c>
      <c r="J120" s="2">
        <v>38.000000000000021</v>
      </c>
      <c r="K120" s="2">
        <v>9.0935820730402406E-2</v>
      </c>
      <c r="L120" s="2">
        <v>5.3290362869461816E-2</v>
      </c>
    </row>
    <row r="121" spans="1:12">
      <c r="A121" s="2">
        <v>4</v>
      </c>
      <c r="D121" s="2">
        <v>14</v>
      </c>
      <c r="F121" s="2">
        <v>25.250000000000014</v>
      </c>
      <c r="I121" s="2">
        <v>3</v>
      </c>
      <c r="J121" s="2">
        <v>45.250000000000021</v>
      </c>
      <c r="K121" s="2">
        <v>9.9746342823196027E-2</v>
      </c>
      <c r="L121" s="2">
        <v>5.2692824725230493E-2</v>
      </c>
    </row>
    <row r="122" spans="1:12">
      <c r="A122" s="3" t="s">
        <v>75</v>
      </c>
      <c r="B122" s="2">
        <v>1735</v>
      </c>
      <c r="C122" s="4">
        <v>6.607742919266936E-2</v>
      </c>
      <c r="D122" s="2">
        <v>15</v>
      </c>
      <c r="E122" s="4">
        <v>6.9763759460564304E-2</v>
      </c>
      <c r="F122" s="2">
        <v>25.312500000000014</v>
      </c>
      <c r="I122" s="2">
        <v>4</v>
      </c>
      <c r="J122" s="2">
        <v>44.500000000000021</v>
      </c>
      <c r="K122" s="2">
        <v>9.7415056235235289E-2</v>
      </c>
      <c r="L122" s="2">
        <v>5.3594725072695172E-2</v>
      </c>
    </row>
    <row r="123" spans="1:12">
      <c r="A123" s="3" t="s">
        <v>75</v>
      </c>
      <c r="B123" s="2">
        <v>1880</v>
      </c>
      <c r="C123" s="4">
        <v>6.0962901208837017E-2</v>
      </c>
      <c r="D123" s="2">
        <v>16</v>
      </c>
      <c r="E123" s="4">
        <v>6.452491018510674E-2</v>
      </c>
      <c r="F123" s="2">
        <v>25.375000000000014</v>
      </c>
      <c r="I123" s="2">
        <v>5</v>
      </c>
      <c r="J123" s="2">
        <v>40.750000000000021</v>
      </c>
      <c r="K123" s="2">
        <v>9.3718617587343594E-2</v>
      </c>
      <c r="L123" s="2">
        <v>5.3396388407806993E-2</v>
      </c>
    </row>
    <row r="124" spans="1:12">
      <c r="A124" s="3" t="s">
        <v>75</v>
      </c>
      <c r="B124" s="2">
        <v>1850</v>
      </c>
      <c r="C124" s="4">
        <v>6.2044279464404085E-2</v>
      </c>
      <c r="D124" s="2">
        <v>17</v>
      </c>
      <c r="E124" s="4">
        <v>6.5840463492307141E-2</v>
      </c>
      <c r="F124" s="2">
        <v>25.437500000000014</v>
      </c>
      <c r="I124" s="2">
        <v>6</v>
      </c>
      <c r="J124" s="2">
        <v>43.250000000000021</v>
      </c>
      <c r="K124" s="2">
        <v>9.5076068222258503E-2</v>
      </c>
      <c r="L124" s="2">
        <v>5.3267187062589108E-2</v>
      </c>
    </row>
    <row r="125" spans="1:12">
      <c r="A125" s="2">
        <v>5</v>
      </c>
      <c r="B125" s="2">
        <v>1857.5</v>
      </c>
      <c r="C125" s="4">
        <v>6.1862211177496962E-2</v>
      </c>
      <c r="D125" s="2">
        <v>18</v>
      </c>
      <c r="E125" s="4">
        <v>6.5816686134816699E-2</v>
      </c>
      <c r="F125" s="2">
        <v>25.500000000000014</v>
      </c>
      <c r="I125" s="2">
        <v>7</v>
      </c>
      <c r="J125" s="2">
        <v>40.000000000000021</v>
      </c>
      <c r="K125" s="2">
        <v>8.9684683319159089E-2</v>
      </c>
      <c r="L125" s="2">
        <v>5.371622160481522E-2</v>
      </c>
    </row>
    <row r="126" spans="1:12">
      <c r="A126" s="3" t="s">
        <v>75</v>
      </c>
      <c r="B126" s="2">
        <v>1850</v>
      </c>
      <c r="C126" s="4">
        <v>6.2192691029900334E-2</v>
      </c>
      <c r="D126" s="2">
        <v>19</v>
      </c>
      <c r="E126" s="4">
        <v>6.6173718487220257E-2</v>
      </c>
      <c r="F126" s="2">
        <v>25.500000000000014</v>
      </c>
      <c r="I126" s="2">
        <v>8</v>
      </c>
      <c r="J126" s="2">
        <v>40.000000000000021</v>
      </c>
      <c r="K126" s="2">
        <v>9.6072800392914479E-2</v>
      </c>
      <c r="L126" s="2">
        <v>5.6517828744056163E-2</v>
      </c>
    </row>
    <row r="127" spans="1:12">
      <c r="A127" s="3" t="s">
        <v>75</v>
      </c>
      <c r="B127" s="2">
        <v>1837.5</v>
      </c>
      <c r="C127" s="4">
        <v>6.2700964630225078E-2</v>
      </c>
      <c r="D127" s="2">
        <v>20</v>
      </c>
      <c r="E127" s="4">
        <v>6.6720338130220422E-2</v>
      </c>
      <c r="F127" s="2">
        <v>25.500000000000014</v>
      </c>
      <c r="I127" s="2">
        <v>9</v>
      </c>
      <c r="J127" s="2">
        <v>41.500000000000021</v>
      </c>
      <c r="K127" s="2">
        <v>0.1108890651492051</v>
      </c>
      <c r="L127" s="2">
        <v>6.5010786268506718E-2</v>
      </c>
    </row>
    <row r="128" spans="1:12">
      <c r="A128" s="3" t="s">
        <v>75</v>
      </c>
      <c r="B128" s="2">
        <v>1835</v>
      </c>
      <c r="C128" s="4">
        <v>6.2864358058189823E-2</v>
      </c>
      <c r="D128" s="2">
        <v>21</v>
      </c>
      <c r="E128" s="4">
        <v>6.6899531299663861E-2</v>
      </c>
      <c r="F128" s="2">
        <v>25.500000000000014</v>
      </c>
      <c r="I128" s="2">
        <v>10</v>
      </c>
      <c r="J128" s="2">
        <v>39.500000000000021</v>
      </c>
      <c r="K128" s="2">
        <v>9.1287441822976448E-2</v>
      </c>
      <c r="L128" s="2">
        <v>5.7093055343334448E-2</v>
      </c>
    </row>
    <row r="129" spans="1:12">
      <c r="A129" s="3" t="s">
        <v>75</v>
      </c>
      <c r="B129" s="2">
        <v>1850</v>
      </c>
      <c r="C129" s="4">
        <v>6.2416644438516938E-2</v>
      </c>
      <c r="D129" s="2">
        <v>22</v>
      </c>
      <c r="E129" s="4">
        <v>6.6427319028137297E-2</v>
      </c>
      <c r="F129" s="2">
        <v>25.500000000000014</v>
      </c>
      <c r="I129" s="2">
        <v>11</v>
      </c>
      <c r="J129" s="2">
        <v>34.500000000000021</v>
      </c>
      <c r="K129" s="2">
        <v>8.0504627987659644E-2</v>
      </c>
      <c r="L129" s="2">
        <v>5.5316524053753702E-2</v>
      </c>
    </row>
    <row r="130" spans="1:12">
      <c r="A130" s="2">
        <v>6</v>
      </c>
      <c r="B130" s="2">
        <v>1850</v>
      </c>
      <c r="C130" s="4">
        <v>6.2491654426492189E-2</v>
      </c>
      <c r="D130" s="2">
        <v>23</v>
      </c>
      <c r="E130" s="4">
        <v>6.651228504309592E-2</v>
      </c>
      <c r="F130" s="2">
        <v>25.500000000000014</v>
      </c>
      <c r="I130" s="2">
        <v>12</v>
      </c>
      <c r="J130" s="2">
        <v>34.750000000000021</v>
      </c>
      <c r="K130" s="2">
        <v>8.5246609710665375E-2</v>
      </c>
      <c r="L130" s="2">
        <v>5.6101449397158824E-2</v>
      </c>
    </row>
    <row r="131" spans="1:12">
      <c r="A131" s="3" t="s">
        <v>75</v>
      </c>
      <c r="B131" s="2">
        <v>1860</v>
      </c>
      <c r="C131" s="4">
        <v>6.2220804084237399E-2</v>
      </c>
      <c r="D131" s="2">
        <v>24</v>
      </c>
      <c r="E131" s="4">
        <v>6.5893950440957666E-2</v>
      </c>
      <c r="F131" s="2">
        <v>25.375000000000014</v>
      </c>
      <c r="I131" s="2">
        <v>1793</v>
      </c>
      <c r="J131" s="2">
        <v>38.000000000000021</v>
      </c>
      <c r="K131" s="2">
        <v>0.10065725665745567</v>
      </c>
      <c r="L131" s="2">
        <v>6.068765380777856E-2</v>
      </c>
    </row>
    <row r="132" spans="1:12">
      <c r="A132" s="3" t="s">
        <v>75</v>
      </c>
      <c r="B132" s="2">
        <v>1885</v>
      </c>
      <c r="C132" s="4">
        <v>6.1444739122443082E-2</v>
      </c>
      <c r="D132" s="2">
        <v>25</v>
      </c>
      <c r="E132" s="4">
        <v>6.4744600712864558E-2</v>
      </c>
      <c r="F132" s="2">
        <v>25.250000000000014</v>
      </c>
      <c r="I132" s="2">
        <v>2</v>
      </c>
      <c r="J132" s="2">
        <v>43.750000000000014</v>
      </c>
      <c r="K132" s="2">
        <v>0.10733202540010887</v>
      </c>
      <c r="L132" s="2">
        <v>5.884960442239158E-2</v>
      </c>
    </row>
    <row r="133" spans="1:12">
      <c r="A133" s="3" t="s">
        <v>75</v>
      </c>
      <c r="B133" s="2">
        <v>1877.5</v>
      </c>
      <c r="C133" s="4">
        <v>6.1770761839396018E-2</v>
      </c>
      <c r="D133" s="2">
        <v>26</v>
      </c>
      <c r="E133" s="4">
        <v>6.4760022768034581E-2</v>
      </c>
      <c r="F133" s="2">
        <v>25.125000000000014</v>
      </c>
      <c r="I133" s="2">
        <v>3</v>
      </c>
      <c r="J133" s="2">
        <v>43.000000000000014</v>
      </c>
      <c r="K133" s="2">
        <v>0.10985913147556865</v>
      </c>
      <c r="L133" s="2">
        <v>5.8101294437720809E-2</v>
      </c>
    </row>
    <row r="134" spans="1:12">
      <c r="A134" s="2">
        <v>7</v>
      </c>
      <c r="B134" s="2">
        <v>1890</v>
      </c>
      <c r="C134" s="4">
        <v>5.9592023836809532E-2</v>
      </c>
      <c r="D134" s="2">
        <v>1</v>
      </c>
      <c r="E134" s="4">
        <v>6.207798905517304E-2</v>
      </c>
      <c r="F134" s="2">
        <v>25.000000000000014</v>
      </c>
      <c r="I134" s="2">
        <v>4</v>
      </c>
      <c r="J134" s="2">
        <v>48.000000000000014</v>
      </c>
      <c r="K134" s="2">
        <v>0.12183268907378328</v>
      </c>
      <c r="L134" s="2">
        <v>5.6699109427139578E-2</v>
      </c>
    </row>
    <row r="135" spans="1:12">
      <c r="A135" s="3" t="s">
        <v>75</v>
      </c>
      <c r="B135" s="2">
        <v>1801</v>
      </c>
      <c r="C135" s="4">
        <v>6.2615732068888014E-2</v>
      </c>
      <c r="D135" s="2">
        <v>2</v>
      </c>
      <c r="E135" s="4">
        <v>6.5231266583795119E-2</v>
      </c>
      <c r="F135" s="2">
        <v>25.000000000000014</v>
      </c>
      <c r="I135" s="2">
        <v>5</v>
      </c>
      <c r="J135" s="2">
        <v>55.000000000000014</v>
      </c>
      <c r="K135" s="2">
        <v>0.13321363118877402</v>
      </c>
      <c r="L135" s="2">
        <v>5.470405437255748E-2</v>
      </c>
    </row>
    <row r="136" spans="1:12">
      <c r="A136" s="3" t="s">
        <v>75</v>
      </c>
      <c r="B136" s="2">
        <v>1800</v>
      </c>
      <c r="C136" s="4">
        <v>6.2726176115802168E-2</v>
      </c>
      <c r="D136" s="2">
        <v>3</v>
      </c>
      <c r="E136" s="4">
        <v>6.5349620469511926E-2</v>
      </c>
      <c r="F136" s="2">
        <v>25.000000000000014</v>
      </c>
      <c r="I136" s="2">
        <v>6</v>
      </c>
      <c r="J136" s="2">
        <v>61.000000000000028</v>
      </c>
      <c r="K136" s="2">
        <v>0.1543363559084347</v>
      </c>
      <c r="L136" s="2">
        <v>5.4391471785530783E-2</v>
      </c>
    </row>
    <row r="137" spans="1:12">
      <c r="A137" s="3" t="s">
        <v>75</v>
      </c>
      <c r="B137" s="2">
        <v>1795</v>
      </c>
      <c r="C137" s="4">
        <v>6.2977715577564861E-2</v>
      </c>
      <c r="D137" s="2">
        <v>4</v>
      </c>
      <c r="E137" s="4">
        <v>6.5615031562512652E-2</v>
      </c>
      <c r="F137" s="2">
        <v>25.000000000000014</v>
      </c>
    </row>
    <row r="138" spans="1:12">
      <c r="A138" s="2">
        <v>8</v>
      </c>
      <c r="B138" s="2">
        <v>1760</v>
      </c>
      <c r="C138" s="4">
        <v>6.4315751862133411E-2</v>
      </c>
      <c r="D138" s="2">
        <v>5</v>
      </c>
      <c r="E138" s="4">
        <v>6.7012842409850587E-2</v>
      </c>
      <c r="F138" s="2">
        <v>25.000000000000014</v>
      </c>
    </row>
    <row r="139" spans="1:12">
      <c r="A139" s="3" t="s">
        <v>75</v>
      </c>
      <c r="B139" s="2">
        <v>1760</v>
      </c>
      <c r="C139" s="4">
        <v>6.4395398756123073E-2</v>
      </c>
      <c r="D139" s="2">
        <v>6</v>
      </c>
      <c r="E139" s="4">
        <v>6.7369797491440314E-2</v>
      </c>
      <c r="F139" s="2">
        <v>25.100000000000016</v>
      </c>
    </row>
    <row r="140" spans="1:12">
      <c r="A140" s="3" t="s">
        <v>75</v>
      </c>
      <c r="B140" s="2">
        <v>1752.5</v>
      </c>
      <c r="C140" s="4">
        <v>6.4753576666574428E-2</v>
      </c>
      <c r="D140" s="2">
        <v>7</v>
      </c>
      <c r="E140" s="4">
        <v>6.8020901823718768E-2</v>
      </c>
      <c r="F140" s="2">
        <v>25.200000000000017</v>
      </c>
    </row>
    <row r="141" spans="1:12">
      <c r="A141" s="3" t="s">
        <v>75</v>
      </c>
      <c r="B141" s="2">
        <v>1770</v>
      </c>
      <c r="C141" s="4">
        <v>6.4186965108624094E-2</v>
      </c>
      <c r="D141" s="2">
        <v>8</v>
      </c>
      <c r="E141" s="4">
        <v>6.7699971182742624E-2</v>
      </c>
      <c r="F141" s="2">
        <v>25.300000000000018</v>
      </c>
    </row>
    <row r="142" spans="1:12">
      <c r="A142" s="3" t="s">
        <v>75</v>
      </c>
      <c r="B142" s="2">
        <v>1845</v>
      </c>
      <c r="C142" s="4">
        <v>6.1625977719838826E-2</v>
      </c>
      <c r="D142" s="2">
        <v>9</v>
      </c>
      <c r="E142" s="4">
        <v>6.5261431126659011E-2</v>
      </c>
      <c r="F142" s="2">
        <v>25.40000000000002</v>
      </c>
    </row>
    <row r="143" spans="1:12">
      <c r="A143" s="2">
        <v>9</v>
      </c>
      <c r="B143" s="2">
        <v>1822.5</v>
      </c>
      <c r="C143" s="4">
        <v>6.2469966362325803E-2</v>
      </c>
      <c r="D143" s="2">
        <v>10</v>
      </c>
      <c r="E143" s="4">
        <v>6.6424213278831468E-2</v>
      </c>
      <c r="F143" s="2">
        <v>25.500000000000021</v>
      </c>
    </row>
    <row r="144" spans="1:12">
      <c r="A144" s="3" t="s">
        <v>75</v>
      </c>
      <c r="B144" s="2">
        <v>1822.5</v>
      </c>
      <c r="C144" s="4">
        <v>6.2545104642771229E-2</v>
      </c>
      <c r="D144" s="2">
        <v>11</v>
      </c>
      <c r="E144" s="4">
        <v>6.7005141073850555E-2</v>
      </c>
      <c r="F144" s="2">
        <v>25.687500000000021</v>
      </c>
    </row>
    <row r="145" spans="1:6">
      <c r="A145" s="3" t="s">
        <v>75</v>
      </c>
      <c r="B145" s="2">
        <v>1857.5</v>
      </c>
      <c r="C145" s="4">
        <v>6.1423771524569508E-2</v>
      </c>
      <c r="D145" s="2">
        <v>12</v>
      </c>
      <c r="E145" s="4">
        <v>6.6295919758368543E-2</v>
      </c>
      <c r="F145" s="2">
        <v>25.875000000000021</v>
      </c>
    </row>
    <row r="146" spans="1:6">
      <c r="A146" s="3" t="s">
        <v>75</v>
      </c>
      <c r="B146" s="2">
        <v>1925</v>
      </c>
      <c r="C146" s="4">
        <v>5.9308072487644151E-2</v>
      </c>
      <c r="D146" s="2">
        <v>13</v>
      </c>
      <c r="E146" s="4">
        <v>6.4487029137724444E-2</v>
      </c>
      <c r="F146" s="2">
        <v>26.062500000000021</v>
      </c>
    </row>
    <row r="147" spans="1:6">
      <c r="A147" s="2">
        <v>10</v>
      </c>
      <c r="B147" s="2">
        <v>2022.5</v>
      </c>
      <c r="C147" s="4">
        <v>5.6469906848786139E-2</v>
      </c>
      <c r="D147" s="2">
        <v>14</v>
      </c>
      <c r="E147" s="4">
        <v>6.1852119813371284E-2</v>
      </c>
      <c r="F147" s="2">
        <v>26.250000000000021</v>
      </c>
    </row>
    <row r="148" spans="1:6">
      <c r="A148" s="3" t="s">
        <v>75</v>
      </c>
      <c r="B148" s="2">
        <v>2050</v>
      </c>
      <c r="C148" s="4">
        <v>5.5760753008459431E-2</v>
      </c>
      <c r="D148" s="2">
        <v>15</v>
      </c>
      <c r="E148" s="4">
        <v>6.1169227441763827E-2</v>
      </c>
      <c r="F148" s="2">
        <v>26.287500000000023</v>
      </c>
    </row>
    <row r="149" spans="1:6">
      <c r="A149" s="3" t="s">
        <v>75</v>
      </c>
      <c r="B149" s="2">
        <v>2017.5</v>
      </c>
      <c r="C149" s="4">
        <v>5.673552516729706E-2</v>
      </c>
      <c r="D149" s="2">
        <v>16</v>
      </c>
      <c r="E149" s="4">
        <v>6.2337201041913391E-2</v>
      </c>
      <c r="F149" s="2">
        <v>26.325000000000024</v>
      </c>
    </row>
    <row r="150" spans="1:6">
      <c r="A150" s="3" t="s">
        <v>75</v>
      </c>
      <c r="B150" s="2">
        <v>2025</v>
      </c>
      <c r="C150" s="4">
        <v>5.6583242655059846E-2</v>
      </c>
      <c r="D150" s="2">
        <v>17</v>
      </c>
      <c r="E150" s="4">
        <v>6.2266538804167743E-2</v>
      </c>
      <c r="F150" s="2">
        <v>26.362500000000026</v>
      </c>
    </row>
    <row r="151" spans="1:6">
      <c r="A151" s="2">
        <v>11</v>
      </c>
      <c r="B151" s="2">
        <v>2045</v>
      </c>
      <c r="C151" s="4">
        <v>5.6080141877965776E-2</v>
      </c>
      <c r="D151" s="2">
        <v>18</v>
      </c>
      <c r="E151" s="4">
        <v>6.1808140232921187E-2</v>
      </c>
      <c r="F151" s="2">
        <v>26.400000000000027</v>
      </c>
    </row>
    <row r="152" spans="1:6">
      <c r="A152" s="3" t="s">
        <v>75</v>
      </c>
      <c r="B152" s="2">
        <v>2035</v>
      </c>
      <c r="C152" s="4">
        <v>5.6422250620885878E-2</v>
      </c>
      <c r="D152" s="2">
        <v>19</v>
      </c>
      <c r="E152" s="4">
        <v>6.224087820297728E-2</v>
      </c>
      <c r="F152" s="2">
        <v>26.420000000000027</v>
      </c>
    </row>
    <row r="153" spans="1:6">
      <c r="A153" s="3" t="s">
        <v>75</v>
      </c>
      <c r="B153" s="2">
        <v>2037.5</v>
      </c>
      <c r="C153" s="4">
        <v>5.6412729026036647E-2</v>
      </c>
      <c r="D153" s="2">
        <v>20</v>
      </c>
      <c r="E153" s="4">
        <v>6.22854174468754E-2</v>
      </c>
      <c r="F153" s="2">
        <v>26.440000000000026</v>
      </c>
    </row>
    <row r="154" spans="1:6">
      <c r="A154" s="3" t="s">
        <v>75</v>
      </c>
      <c r="B154" s="2">
        <v>2075</v>
      </c>
      <c r="C154" s="4">
        <v>5.543053417031861E-2</v>
      </c>
      <c r="D154" s="2">
        <v>21</v>
      </c>
      <c r="E154" s="4">
        <v>6.1252708527294267E-2</v>
      </c>
      <c r="F154" s="2">
        <v>26.460000000000026</v>
      </c>
    </row>
    <row r="155" spans="1:6">
      <c r="A155" s="3" t="s">
        <v>75</v>
      </c>
      <c r="B155" s="2">
        <v>2080</v>
      </c>
      <c r="C155" s="4">
        <v>5.5353172162558549E-2</v>
      </c>
      <c r="D155" s="2">
        <v>22</v>
      </c>
      <c r="E155" s="4">
        <v>6.1221150676875787E-2</v>
      </c>
      <c r="F155" s="2">
        <v>26.480000000000025</v>
      </c>
    </row>
    <row r="156" spans="1:6">
      <c r="A156" s="2">
        <v>12</v>
      </c>
      <c r="B156" s="2">
        <v>2185</v>
      </c>
      <c r="C156" s="4">
        <v>5.2687276247945419E-2</v>
      </c>
      <c r="D156" s="2">
        <v>23</v>
      </c>
      <c r="E156" s="4">
        <v>5.8317098872451505E-2</v>
      </c>
      <c r="F156" s="2">
        <v>26.500000000000025</v>
      </c>
    </row>
    <row r="157" spans="1:6">
      <c r="A157" s="3" t="s">
        <v>75</v>
      </c>
      <c r="B157" s="2">
        <v>2185</v>
      </c>
      <c r="C157" s="4">
        <v>5.2740714028128383E-2</v>
      </c>
      <c r="D157" s="2">
        <v>24</v>
      </c>
      <c r="E157" s="4">
        <v>5.8156348847718094E-2</v>
      </c>
      <c r="F157" s="2">
        <v>26.400000000000027</v>
      </c>
    </row>
    <row r="158" spans="1:6">
      <c r="A158" s="3" t="s">
        <v>75</v>
      </c>
      <c r="B158" s="2">
        <v>2157.5</v>
      </c>
      <c r="C158" s="4">
        <v>5.3484491783044957E-2</v>
      </c>
      <c r="D158" s="2">
        <v>25</v>
      </c>
      <c r="E158" s="4">
        <v>5.8754874400500715E-2</v>
      </c>
      <c r="F158" s="2">
        <v>26.300000000000029</v>
      </c>
    </row>
    <row r="159" spans="1:6">
      <c r="A159" s="3" t="s">
        <v>75</v>
      </c>
      <c r="B159" s="2">
        <v>2212.5</v>
      </c>
      <c r="C159" s="4">
        <v>5.2173913043478258E-2</v>
      </c>
      <c r="D159" s="2">
        <v>26</v>
      </c>
      <c r="E159" s="4">
        <v>5.7093048594465096E-2</v>
      </c>
      <c r="F159" s="2">
        <v>26.200000000000031</v>
      </c>
    </row>
    <row r="160" spans="1:6">
      <c r="A160" s="2">
        <v>1791</v>
      </c>
      <c r="B160" s="2">
        <v>2200</v>
      </c>
      <c r="C160" s="4">
        <v>5.1186700207809251E-2</v>
      </c>
      <c r="D160" s="2">
        <v>1</v>
      </c>
      <c r="E160" s="4">
        <v>5.5670331443291289E-2</v>
      </c>
      <c r="F160" s="2">
        <v>26.100000000000033</v>
      </c>
    </row>
    <row r="161" spans="1:6">
      <c r="A161" s="3" t="s">
        <v>75</v>
      </c>
      <c r="B161" s="2">
        <v>2207.5</v>
      </c>
      <c r="C161" s="4">
        <v>5.1062715489023698E-2</v>
      </c>
      <c r="D161" s="2">
        <v>2</v>
      </c>
      <c r="E161" s="4">
        <v>5.5593560668323196E-2</v>
      </c>
      <c r="F161" s="2">
        <v>26.125000000000032</v>
      </c>
    </row>
    <row r="162" spans="1:6">
      <c r="A162" s="3" t="s">
        <v>75</v>
      </c>
      <c r="B162" s="2">
        <v>2350</v>
      </c>
      <c r="C162" s="4">
        <v>4.8004923581905834E-2</v>
      </c>
      <c r="D162" s="2">
        <v>3</v>
      </c>
      <c r="E162" s="4">
        <v>5.2318344958136025E-2</v>
      </c>
      <c r="F162" s="2">
        <v>26.150000000000031</v>
      </c>
    </row>
    <row r="163" spans="1:6">
      <c r="A163" s="3" t="s">
        <v>75</v>
      </c>
      <c r="B163" s="2">
        <v>2280</v>
      </c>
      <c r="C163" s="4">
        <v>4.9530099060198118E-2</v>
      </c>
      <c r="D163" s="2">
        <v>4</v>
      </c>
      <c r="E163" s="4">
        <v>5.403742243360958E-2</v>
      </c>
      <c r="F163" s="2">
        <v>26.175000000000029</v>
      </c>
    </row>
    <row r="164" spans="1:6">
      <c r="A164" s="2">
        <v>2</v>
      </c>
      <c r="B164" s="2">
        <v>2295</v>
      </c>
      <c r="C164" s="4">
        <v>4.925175222580034E-2</v>
      </c>
      <c r="D164" s="2">
        <v>5</v>
      </c>
      <c r="E164" s="4">
        <v>5.3789846890027776E-2</v>
      </c>
      <c r="F164" s="2">
        <v>26.200000000000028</v>
      </c>
    </row>
    <row r="165" spans="1:6">
      <c r="A165" s="3" t="s">
        <v>75</v>
      </c>
      <c r="B165" s="2">
        <v>2280</v>
      </c>
      <c r="C165" s="4">
        <v>4.9624634177376253E-2</v>
      </c>
      <c r="D165" s="2">
        <v>6</v>
      </c>
      <c r="E165" s="4">
        <v>5.422802985018222E-2</v>
      </c>
      <c r="F165" s="2">
        <v>26.212500000000027</v>
      </c>
    </row>
    <row r="166" spans="1:6">
      <c r="A166" s="3" t="s">
        <v>75</v>
      </c>
      <c r="B166" s="2">
        <v>2277.5</v>
      </c>
      <c r="C166" s="4">
        <v>4.9726926918418089E-2</v>
      </c>
      <c r="D166" s="2">
        <v>7</v>
      </c>
      <c r="E166" s="4">
        <v>5.4370769415295998E-2</v>
      </c>
      <c r="F166" s="2">
        <v>26.225000000000026</v>
      </c>
    </row>
    <row r="167" spans="1:6">
      <c r="A167" s="3" t="s">
        <v>75</v>
      </c>
      <c r="B167" s="2">
        <v>2292.5</v>
      </c>
      <c r="C167" s="4">
        <v>4.9446369706702728E-2</v>
      </c>
      <c r="D167" s="2">
        <v>8</v>
      </c>
      <c r="E167" s="4">
        <v>5.409457778858575E-2</v>
      </c>
      <c r="F167" s="2">
        <v>26.237500000000026</v>
      </c>
    </row>
    <row r="168" spans="1:6">
      <c r="A168" s="2">
        <v>3</v>
      </c>
      <c r="B168" s="2">
        <v>2290</v>
      </c>
      <c r="C168" s="4">
        <v>4.9547928091981282E-2</v>
      </c>
      <c r="D168" s="2">
        <v>9</v>
      </c>
      <c r="E168" s="4">
        <v>5.4236650598755459E-2</v>
      </c>
      <c r="F168" s="2">
        <v>26.250000000000025</v>
      </c>
    </row>
    <row r="169" spans="1:6">
      <c r="A169" s="3" t="s">
        <v>75</v>
      </c>
      <c r="B169" s="2">
        <v>2292.5</v>
      </c>
      <c r="C169" s="4">
        <v>4.9540585171698355E-2</v>
      </c>
      <c r="D169" s="2">
        <v>10</v>
      </c>
      <c r="E169" s="4">
        <v>5.4337835439584509E-2</v>
      </c>
      <c r="F169" s="2">
        <v>26.300000000000026</v>
      </c>
    </row>
    <row r="170" spans="1:6">
      <c r="A170" s="3" t="s">
        <v>75</v>
      </c>
      <c r="B170" s="2">
        <v>2285</v>
      </c>
      <c r="C170" s="4">
        <v>4.9752301575489551E-2</v>
      </c>
      <c r="D170" s="2">
        <v>11</v>
      </c>
      <c r="E170" s="4">
        <v>5.4680230527999626E-2</v>
      </c>
      <c r="F170" s="2">
        <v>26.350000000000026</v>
      </c>
    </row>
    <row r="171" spans="1:6">
      <c r="A171" s="3" t="s">
        <v>75</v>
      </c>
      <c r="D171" s="2">
        <v>12</v>
      </c>
      <c r="F171" s="2">
        <v>26.400000000000027</v>
      </c>
    </row>
    <row r="172" spans="1:6">
      <c r="A172" s="3" t="s">
        <v>75</v>
      </c>
      <c r="D172" s="2">
        <v>13</v>
      </c>
      <c r="F172" s="2">
        <v>26.450000000000028</v>
      </c>
    </row>
    <row r="173" spans="1:6">
      <c r="A173" s="2">
        <v>4</v>
      </c>
      <c r="B173" s="2">
        <v>2275</v>
      </c>
      <c r="C173" s="4">
        <v>5.0117798243735273E-2</v>
      </c>
      <c r="D173" s="2">
        <v>14</v>
      </c>
      <c r="E173" s="4">
        <v>5.5416292443598497E-2</v>
      </c>
      <c r="F173" s="2">
        <v>26.500000000000028</v>
      </c>
    </row>
    <row r="174" spans="1:6">
      <c r="A174" s="3" t="s">
        <v>75</v>
      </c>
      <c r="B174" s="2">
        <v>2292.5</v>
      </c>
      <c r="C174" s="4">
        <v>4.9777702142142992E-2</v>
      </c>
      <c r="D174" s="2">
        <v>15</v>
      </c>
      <c r="E174" s="4">
        <v>5.5177101852269567E-2</v>
      </c>
      <c r="F174" s="2">
        <v>26.562500000000028</v>
      </c>
    </row>
    <row r="175" spans="1:6">
      <c r="A175" s="3" t="s">
        <v>75</v>
      </c>
      <c r="B175" s="2">
        <v>2277.5</v>
      </c>
      <c r="C175" s="4">
        <v>5.0158621280974022E-2</v>
      </c>
      <c r="D175" s="2">
        <v>16</v>
      </c>
      <c r="E175" s="4">
        <v>5.5738809295035302E-2</v>
      </c>
      <c r="F175" s="2">
        <v>26.625000000000028</v>
      </c>
    </row>
    <row r="176" spans="1:6">
      <c r="A176" s="3" t="s">
        <v>75</v>
      </c>
      <c r="B176" s="2">
        <v>2287.5</v>
      </c>
      <c r="C176" s="4">
        <v>4.9983979493752002E-2</v>
      </c>
      <c r="D176" s="2">
        <v>17</v>
      </c>
      <c r="E176" s="4">
        <v>5.5683035031360011E-2</v>
      </c>
      <c r="F176" s="2">
        <v>26.687500000000028</v>
      </c>
    </row>
    <row r="177" spans="1:6">
      <c r="A177" s="2">
        <v>5</v>
      </c>
      <c r="B177" s="2">
        <v>2280</v>
      </c>
      <c r="C177" s="4">
        <v>5.0199510876560688E-2</v>
      </c>
      <c r="D177" s="2">
        <v>18</v>
      </c>
      <c r="E177" s="4">
        <v>5.6063164767666408E-2</v>
      </c>
      <c r="F177" s="2">
        <v>26.750000000000028</v>
      </c>
    </row>
    <row r="178" spans="1:6">
      <c r="A178" s="3" t="s">
        <v>75</v>
      </c>
      <c r="B178" s="2">
        <v>2282.5</v>
      </c>
      <c r="C178" s="4">
        <v>5.019197357414041E-2</v>
      </c>
      <c r="D178" s="2">
        <v>19</v>
      </c>
      <c r="E178" s="4">
        <v>5.67026898101647E-2</v>
      </c>
      <c r="F178" s="2">
        <v>27.050000000000029</v>
      </c>
    </row>
    <row r="179" spans="1:6">
      <c r="A179" s="3" t="s">
        <v>75</v>
      </c>
      <c r="B179" s="2">
        <v>2275</v>
      </c>
      <c r="C179" s="4">
        <v>5.0409306333476948E-2</v>
      </c>
      <c r="D179" s="2">
        <v>20</v>
      </c>
      <c r="E179" s="4">
        <v>5.7601490461854234E-2</v>
      </c>
      <c r="F179" s="2">
        <v>27.35000000000003</v>
      </c>
    </row>
    <row r="180" spans="1:6">
      <c r="A180" s="3" t="s">
        <v>75</v>
      </c>
      <c r="B180" s="2">
        <v>2277.5</v>
      </c>
      <c r="C180" s="4">
        <v>5.0401705903892133E-2</v>
      </c>
      <c r="D180" s="2">
        <v>21</v>
      </c>
      <c r="E180" s="4">
        <v>5.8247274765118408E-2</v>
      </c>
      <c r="F180" s="2">
        <v>27.650000000000031</v>
      </c>
    </row>
    <row r="181" spans="1:6">
      <c r="A181" s="3" t="s">
        <v>75</v>
      </c>
      <c r="B181" s="2">
        <v>2292.5</v>
      </c>
      <c r="C181" s="4">
        <v>5.0113504947102414E-2</v>
      </c>
      <c r="D181" s="2">
        <v>22</v>
      </c>
      <c r="E181" s="4">
        <v>5.8565716181529344E-2</v>
      </c>
      <c r="F181" s="2">
        <v>27.950000000000031</v>
      </c>
    </row>
    <row r="182" spans="1:6">
      <c r="A182" s="2">
        <v>6</v>
      </c>
      <c r="B182" s="2">
        <v>2287.5</v>
      </c>
      <c r="C182" s="4">
        <v>5.0273928456332578E-2</v>
      </c>
      <c r="D182" s="2">
        <v>23</v>
      </c>
      <c r="E182" s="4">
        <v>5.9410545472928636E-2</v>
      </c>
      <c r="F182" s="2">
        <v>28.250000000000032</v>
      </c>
    </row>
    <row r="183" spans="1:6">
      <c r="A183" s="3" t="s">
        <v>75</v>
      </c>
      <c r="B183" s="2">
        <v>2277.5</v>
      </c>
      <c r="C183" s="4">
        <v>5.0548690918517242E-2</v>
      </c>
      <c r="D183" s="2">
        <v>24</v>
      </c>
      <c r="E183" s="4">
        <v>5.9611038734805E-2</v>
      </c>
      <c r="F183" s="2">
        <v>28.187500000000032</v>
      </c>
    </row>
    <row r="184" spans="1:6">
      <c r="A184" s="3" t="s">
        <v>75</v>
      </c>
      <c r="B184" s="2">
        <v>2290</v>
      </c>
      <c r="C184" s="4">
        <v>5.0315006343131144E-2</v>
      </c>
      <c r="D184" s="2">
        <v>25</v>
      </c>
      <c r="E184" s="4">
        <v>5.9209068062763708E-2</v>
      </c>
      <c r="F184" s="2">
        <v>28.125000000000032</v>
      </c>
    </row>
    <row r="185" spans="1:6">
      <c r="A185" s="3" t="s">
        <v>75</v>
      </c>
      <c r="B185" s="2">
        <v>2277.5</v>
      </c>
      <c r="C185" s="4">
        <v>5.0647158131682614E-2</v>
      </c>
      <c r="D185" s="2">
        <v>26</v>
      </c>
      <c r="E185" s="4">
        <v>5.9475187764095071E-2</v>
      </c>
      <c r="F185" s="2">
        <v>28.062500000000032</v>
      </c>
    </row>
    <row r="186" spans="1:6">
      <c r="A186" s="2">
        <v>7</v>
      </c>
      <c r="B186" s="2">
        <v>2227.5</v>
      </c>
      <c r="C186" s="4">
        <v>5.0554151273575737E-2</v>
      </c>
      <c r="D186" s="2">
        <v>1</v>
      </c>
      <c r="E186" s="4">
        <v>5.8989401354811594E-2</v>
      </c>
      <c r="F186" s="2">
        <v>28.000000000000032</v>
      </c>
    </row>
    <row r="187" spans="1:6">
      <c r="A187" s="3" t="s">
        <v>75</v>
      </c>
      <c r="B187" s="2">
        <v>2237.5</v>
      </c>
      <c r="C187" s="4">
        <v>5.0376749192680301E-2</v>
      </c>
      <c r="D187" s="2">
        <v>2</v>
      </c>
      <c r="E187" s="4">
        <v>5.9449519056856852E-2</v>
      </c>
      <c r="F187" s="2">
        <v>28.312500000000032</v>
      </c>
    </row>
    <row r="188" spans="1:6">
      <c r="A188" s="3" t="s">
        <v>75</v>
      </c>
      <c r="B188" s="2">
        <v>2230</v>
      </c>
      <c r="C188" s="4">
        <v>5.0595688555428224E-2</v>
      </c>
      <c r="D188" s="2">
        <v>3</v>
      </c>
      <c r="E188" s="4">
        <v>6.0379863778538274E-2</v>
      </c>
      <c r="F188" s="2">
        <v>28.625000000000032</v>
      </c>
    </row>
    <row r="189" spans="1:6">
      <c r="A189" s="3" t="s">
        <v>75</v>
      </c>
      <c r="B189" s="2">
        <v>2222.5</v>
      </c>
      <c r="C189" s="4">
        <v>5.0816539263377349E-2</v>
      </c>
      <c r="D189" s="2">
        <v>4</v>
      </c>
      <c r="E189" s="4">
        <v>6.1320296586887299E-2</v>
      </c>
      <c r="F189" s="2">
        <v>28.937500000000032</v>
      </c>
    </row>
    <row r="190" spans="1:6">
      <c r="A190" s="2">
        <v>8</v>
      </c>
      <c r="B190" s="2">
        <v>2205</v>
      </c>
      <c r="C190" s="4">
        <v>5.1271938473673832E-2</v>
      </c>
      <c r="D190" s="2">
        <v>5</v>
      </c>
      <c r="E190" s="4">
        <v>6.2555136739113074E-2</v>
      </c>
      <c r="F190" s="2">
        <v>29.250000000000032</v>
      </c>
    </row>
    <row r="191" spans="1:6">
      <c r="A191" s="3" t="s">
        <v>75</v>
      </c>
      <c r="B191" s="2">
        <v>2202.5</v>
      </c>
      <c r="C191" s="4">
        <v>5.1381142681480828E-2</v>
      </c>
      <c r="D191" s="2">
        <v>6</v>
      </c>
      <c r="E191" s="4">
        <v>6.2918007060514647E-2</v>
      </c>
      <c r="F191" s="2">
        <v>29.350000000000033</v>
      </c>
    </row>
    <row r="192" spans="1:6">
      <c r="A192" s="3" t="s">
        <v>75</v>
      </c>
      <c r="B192" s="2">
        <v>2197.5</v>
      </c>
      <c r="C192" s="4">
        <v>5.1549798427070255E-2</v>
      </c>
      <c r="D192" s="2">
        <v>7</v>
      </c>
      <c r="E192" s="4">
        <v>6.3355735795742579E-2</v>
      </c>
      <c r="F192" s="2">
        <v>29.450000000000035</v>
      </c>
    </row>
    <row r="193" spans="1:6">
      <c r="A193" s="3" t="s">
        <v>75</v>
      </c>
      <c r="B193" s="2">
        <v>2195</v>
      </c>
      <c r="C193" s="4">
        <v>5.1660190745319676E-2</v>
      </c>
      <c r="D193" s="2">
        <v>8</v>
      </c>
      <c r="E193" s="4">
        <v>6.3723728373080685E-2</v>
      </c>
      <c r="F193" s="2">
        <v>29.550000000000036</v>
      </c>
    </row>
    <row r="194" spans="1:6">
      <c r="A194" s="3" t="s">
        <v>75</v>
      </c>
      <c r="B194" s="2">
        <v>2217.5</v>
      </c>
      <c r="C194" s="4">
        <v>5.1182221833373433E-2</v>
      </c>
      <c r="D194" s="2">
        <v>9</v>
      </c>
      <c r="E194" s="4">
        <v>6.3363510021185634E-2</v>
      </c>
      <c r="F194" s="2">
        <v>29.650000000000038</v>
      </c>
    </row>
    <row r="195" spans="1:6">
      <c r="A195" s="2">
        <v>9</v>
      </c>
      <c r="B195" s="2">
        <v>2225</v>
      </c>
      <c r="C195" s="4">
        <v>5.1058258782456907E-2</v>
      </c>
      <c r="D195" s="2">
        <v>10</v>
      </c>
      <c r="E195" s="4">
        <v>6.3440206136244112E-2</v>
      </c>
      <c r="F195" s="2">
        <v>29.750000000000039</v>
      </c>
    </row>
    <row r="196" spans="1:6">
      <c r="A196" s="3" t="s">
        <v>75</v>
      </c>
      <c r="B196" s="2">
        <v>2232.5</v>
      </c>
      <c r="C196" s="4">
        <v>5.0934894756317885E-2</v>
      </c>
      <c r="D196" s="2">
        <v>11</v>
      </c>
      <c r="E196" s="4">
        <v>6.3166692041320818E-2</v>
      </c>
      <c r="F196" s="2">
        <v>29.687500000000039</v>
      </c>
    </row>
    <row r="197" spans="1:6">
      <c r="A197" s="3" t="s">
        <v>75</v>
      </c>
      <c r="B197" s="2">
        <v>2245</v>
      </c>
      <c r="C197" s="4">
        <v>5.0697634110408181E-2</v>
      </c>
      <c r="D197" s="2">
        <v>12</v>
      </c>
      <c r="E197" s="4">
        <v>6.2751961720149282E-2</v>
      </c>
      <c r="F197" s="2">
        <v>29.625000000000039</v>
      </c>
    </row>
    <row r="198" spans="1:6">
      <c r="A198" s="3" t="s">
        <v>75</v>
      </c>
      <c r="B198" s="2">
        <v>2277.5</v>
      </c>
      <c r="C198" s="4">
        <v>5.0013892747985553E-2</v>
      </c>
      <c r="D198" s="2">
        <v>13</v>
      </c>
      <c r="E198" s="4">
        <v>6.178470273459364E-2</v>
      </c>
      <c r="F198" s="2">
        <v>29.562500000000039</v>
      </c>
    </row>
    <row r="199" spans="1:6">
      <c r="A199" s="2">
        <v>10</v>
      </c>
      <c r="B199" s="2">
        <v>2292.5</v>
      </c>
      <c r="C199" s="4">
        <v>4.9730097334976832E-2</v>
      </c>
      <c r="D199" s="2">
        <v>14</v>
      </c>
      <c r="E199" s="4">
        <v>6.1314708868382639E-2</v>
      </c>
      <c r="F199" s="2">
        <v>29.500000000000039</v>
      </c>
    </row>
    <row r="200" spans="1:6">
      <c r="A200" s="3" t="s">
        <v>75</v>
      </c>
      <c r="B200" s="2">
        <v>2292.5</v>
      </c>
      <c r="C200" s="4">
        <v>4.9777702142142992E-2</v>
      </c>
      <c r="D200" s="2">
        <v>15</v>
      </c>
      <c r="E200" s="4">
        <v>6.1281207003147375E-2</v>
      </c>
      <c r="F200" s="2">
        <v>29.450000000000038</v>
      </c>
    </row>
    <row r="201" spans="1:6">
      <c r="A201" s="3" t="s">
        <v>75</v>
      </c>
      <c r="B201" s="2">
        <v>2297.5</v>
      </c>
      <c r="C201" s="4">
        <v>4.9715305515424489E-2</v>
      </c>
      <c r="D201" s="2">
        <v>16</v>
      </c>
      <c r="E201" s="4">
        <v>6.1111584871871481E-2</v>
      </c>
      <c r="F201" s="2">
        <v>29.400000000000038</v>
      </c>
    </row>
    <row r="202" spans="1:6">
      <c r="A202" s="3" t="s">
        <v>75</v>
      </c>
      <c r="B202" s="2">
        <v>2295</v>
      </c>
      <c r="C202" s="4">
        <v>4.9817972791722551E-2</v>
      </c>
      <c r="D202" s="2">
        <v>17</v>
      </c>
      <c r="E202" s="4">
        <v>6.114522090123304E-2</v>
      </c>
      <c r="F202" s="2">
        <v>29.350000000000037</v>
      </c>
    </row>
    <row r="203" spans="1:6">
      <c r="A203" s="3" t="s">
        <v>75</v>
      </c>
      <c r="B203" s="2">
        <v>2302.5</v>
      </c>
      <c r="C203" s="4">
        <v>4.9700522492672358E-2</v>
      </c>
      <c r="D203" s="2">
        <v>18</v>
      </c>
      <c r="E203" s="4">
        <v>6.0907455526684064E-2</v>
      </c>
      <c r="F203" s="2">
        <v>29.300000000000036</v>
      </c>
    </row>
    <row r="204" spans="1:6">
      <c r="A204" s="2">
        <v>11</v>
      </c>
      <c r="B204" s="2">
        <v>2307.5</v>
      </c>
      <c r="C204" s="4">
        <v>4.9638319085297297E-2</v>
      </c>
      <c r="D204" s="2">
        <v>19</v>
      </c>
      <c r="E204" s="4">
        <v>6.0737677259709882E-2</v>
      </c>
      <c r="F204" s="2">
        <v>29.250000000000036</v>
      </c>
    </row>
    <row r="205" spans="1:6">
      <c r="A205" s="3" t="s">
        <v>75</v>
      </c>
      <c r="B205" s="2">
        <v>2304</v>
      </c>
      <c r="C205" s="4">
        <v>4.9762670341448476E-2</v>
      </c>
      <c r="D205" s="2">
        <v>20</v>
      </c>
      <c r="E205" s="4">
        <v>6.1969136405806188E-2</v>
      </c>
      <c r="F205" s="2">
        <v>29.750000000000036</v>
      </c>
    </row>
    <row r="206" spans="1:6">
      <c r="A206" s="3" t="s">
        <v>75</v>
      </c>
      <c r="B206" s="2">
        <v>2330</v>
      </c>
      <c r="C206" s="4">
        <v>4.9243460510532626E-2</v>
      </c>
      <c r="D206" s="2">
        <v>21</v>
      </c>
      <c r="E206" s="4">
        <v>6.2390388786388681E-2</v>
      </c>
      <c r="F206" s="2">
        <v>30.250000000000036</v>
      </c>
    </row>
    <row r="207" spans="1:6">
      <c r="A207" s="3" t="s">
        <v>75</v>
      </c>
      <c r="B207" s="2">
        <v>2312.5</v>
      </c>
      <c r="C207" s="4">
        <v>4.9670982806198256E-2</v>
      </c>
      <c r="D207" s="2">
        <v>22</v>
      </c>
      <c r="E207" s="4">
        <v>6.4019324574105418E-2</v>
      </c>
      <c r="F207" s="2">
        <v>30.750000000000036</v>
      </c>
    </row>
    <row r="208" spans="1:6">
      <c r="A208" s="2">
        <v>12</v>
      </c>
      <c r="B208" s="2">
        <v>2322.5</v>
      </c>
      <c r="C208" s="4">
        <v>4.9499714424724471E-2</v>
      </c>
      <c r="D208" s="2">
        <v>23</v>
      </c>
      <c r="E208" s="4">
        <v>6.4881871738854208E-2</v>
      </c>
      <c r="F208" s="2">
        <v>31.250000000000036</v>
      </c>
    </row>
    <row r="209" spans="1:6">
      <c r="A209" s="3" t="s">
        <v>75</v>
      </c>
      <c r="B209" s="2">
        <v>2322.5</v>
      </c>
      <c r="C209" s="4">
        <v>4.954687897010248E-2</v>
      </c>
      <c r="D209" s="2">
        <v>24</v>
      </c>
      <c r="E209" s="4">
        <v>6.7106126651976586E-2</v>
      </c>
      <c r="F209" s="2">
        <v>32.250000000000036</v>
      </c>
    </row>
    <row r="210" spans="1:6">
      <c r="A210" s="3" t="s">
        <v>75</v>
      </c>
      <c r="B210" s="2">
        <v>2317.5</v>
      </c>
      <c r="C210" s="4">
        <v>4.9703689543108394E-2</v>
      </c>
      <c r="D210" s="2">
        <v>25</v>
      </c>
      <c r="E210" s="4">
        <v>6.9500413022986665E-2</v>
      </c>
      <c r="F210" s="2">
        <v>33.250000000000036</v>
      </c>
    </row>
    <row r="211" spans="1:6">
      <c r="A211" s="3" t="s">
        <v>75</v>
      </c>
      <c r="B211" s="2">
        <v>2315</v>
      </c>
      <c r="C211" s="4">
        <v>4.9806308799114553E-2</v>
      </c>
      <c r="D211" s="2">
        <v>26</v>
      </c>
      <c r="E211" s="4">
        <v>7.1841843066650424E-2</v>
      </c>
      <c r="F211" s="2">
        <v>34.250000000000036</v>
      </c>
    </row>
    <row r="212" spans="1:6">
      <c r="A212" s="2">
        <v>1792</v>
      </c>
      <c r="B212" s="2">
        <v>2260</v>
      </c>
      <c r="C212" s="4">
        <v>4.9826459127398165E-2</v>
      </c>
      <c r="D212" s="2">
        <v>1</v>
      </c>
      <c r="E212" s="4">
        <v>7.32154970805005E-2</v>
      </c>
      <c r="F212" s="2">
        <v>35.250000000000036</v>
      </c>
    </row>
    <row r="213" spans="1:6">
      <c r="A213" s="3" t="s">
        <v>75</v>
      </c>
      <c r="B213" s="2">
        <v>2240</v>
      </c>
      <c r="C213" s="4">
        <v>5.0320416326179521E-2</v>
      </c>
      <c r="D213" s="2">
        <v>2</v>
      </c>
      <c r="E213" s="4">
        <v>7.5132781936275497E-2</v>
      </c>
      <c r="F213" s="2">
        <v>35.800000000000033</v>
      </c>
    </row>
    <row r="214" spans="1:6">
      <c r="A214" s="3" t="s">
        <v>75</v>
      </c>
      <c r="B214" s="2">
        <v>2202.5</v>
      </c>
      <c r="C214" s="4">
        <v>5.1229283884668429E-2</v>
      </c>
      <c r="D214" s="2">
        <v>3</v>
      </c>
      <c r="E214" s="4">
        <v>7.770920509976087E-2</v>
      </c>
      <c r="F214" s="2">
        <v>36.35000000000003</v>
      </c>
    </row>
    <row r="215" spans="1:6">
      <c r="A215" s="3" t="s">
        <v>75</v>
      </c>
      <c r="B215" s="2">
        <v>2200</v>
      </c>
      <c r="C215" s="4">
        <v>5.1338306274681875E-2</v>
      </c>
      <c r="D215" s="2">
        <v>4</v>
      </c>
      <c r="E215" s="4">
        <v>7.9100548003935567E-2</v>
      </c>
      <c r="F215" s="2">
        <v>36.900000000000027</v>
      </c>
    </row>
    <row r="216" spans="1:6">
      <c r="A216" s="3" t="s">
        <v>75</v>
      </c>
      <c r="B216" s="2">
        <v>2185</v>
      </c>
      <c r="C216" s="4">
        <v>5.1743581805718329E-2</v>
      </c>
      <c r="D216" s="2">
        <v>5</v>
      </c>
      <c r="E216" s="4">
        <v>8.0967305822669436E-2</v>
      </c>
      <c r="F216" s="2">
        <v>37.450000000000024</v>
      </c>
    </row>
    <row r="217" spans="1:6">
      <c r="A217" s="2">
        <v>2</v>
      </c>
      <c r="B217" s="2">
        <v>2155</v>
      </c>
      <c r="C217" s="4">
        <v>5.2520536876599182E-2</v>
      </c>
      <c r="D217" s="2">
        <v>6</v>
      </c>
      <c r="E217" s="4">
        <v>8.3452524410708093E-2</v>
      </c>
      <c r="F217" s="2">
        <v>38.000000000000021</v>
      </c>
    </row>
    <row r="218" spans="1:6">
      <c r="A218" s="3" t="s">
        <v>75</v>
      </c>
      <c r="B218" s="2">
        <v>2100</v>
      </c>
      <c r="C218" s="4">
        <v>5.396056727775856E-2</v>
      </c>
      <c r="D218" s="2">
        <v>7</v>
      </c>
      <c r="E218" s="4">
        <v>8.9943167778601479E-2</v>
      </c>
      <c r="F218" s="2">
        <v>39.812500000000021</v>
      </c>
    </row>
    <row r="219" spans="1:6">
      <c r="A219" s="3" t="s">
        <v>75</v>
      </c>
      <c r="B219" s="2">
        <v>2130</v>
      </c>
      <c r="C219" s="4">
        <v>5.3249590387766249E-2</v>
      </c>
      <c r="D219" s="2">
        <v>8</v>
      </c>
      <c r="E219" s="4">
        <v>9.2913744108380103E-2</v>
      </c>
      <c r="F219" s="2">
        <v>41.625000000000021</v>
      </c>
    </row>
    <row r="220" spans="1:6">
      <c r="A220" s="3" t="s">
        <v>75</v>
      </c>
      <c r="B220" s="2">
        <v>2125</v>
      </c>
      <c r="C220" s="4">
        <v>5.3430756935723259E-2</v>
      </c>
      <c r="D220" s="2">
        <v>9</v>
      </c>
      <c r="E220" s="4">
        <v>9.7433846623919962E-2</v>
      </c>
      <c r="F220" s="2">
        <v>43.437500000000021</v>
      </c>
    </row>
    <row r="221" spans="1:6">
      <c r="A221" s="2">
        <v>3</v>
      </c>
      <c r="B221" s="2">
        <v>2135</v>
      </c>
      <c r="C221" s="4">
        <v>5.323263114791392E-2</v>
      </c>
      <c r="D221" s="2">
        <v>10</v>
      </c>
      <c r="E221" s="4">
        <v>0.10128373075372375</v>
      </c>
      <c r="F221" s="2">
        <v>45.250000000000021</v>
      </c>
    </row>
    <row r="222" spans="1:6">
      <c r="A222" s="3" t="s">
        <v>75</v>
      </c>
      <c r="B222" s="2">
        <v>2155</v>
      </c>
      <c r="C222" s="4">
        <v>5.2787114529991651E-2</v>
      </c>
      <c r="D222" s="2">
        <v>11</v>
      </c>
      <c r="E222" s="4">
        <v>0.10009420652141224</v>
      </c>
      <c r="F222" s="2">
        <v>45.062500000000021</v>
      </c>
    </row>
    <row r="223" spans="1:6">
      <c r="A223" s="3" t="s">
        <v>75</v>
      </c>
      <c r="B223" s="2">
        <v>2180</v>
      </c>
      <c r="C223" s="4">
        <v>5.2227479689313454E-2</v>
      </c>
      <c r="D223" s="2">
        <v>12</v>
      </c>
      <c r="E223" s="4">
        <v>9.8689079705476482E-2</v>
      </c>
      <c r="F223" s="2">
        <v>44.875000000000021</v>
      </c>
    </row>
    <row r="224" spans="1:6">
      <c r="A224" s="3" t="s">
        <v>75</v>
      </c>
      <c r="B224" s="2">
        <v>2170</v>
      </c>
      <c r="C224" s="4">
        <v>5.2524073533702947E-2</v>
      </c>
      <c r="D224" s="2">
        <v>13</v>
      </c>
      <c r="E224" s="4">
        <v>9.8918354312171622E-2</v>
      </c>
      <c r="F224" s="2">
        <v>44.687500000000021</v>
      </c>
    </row>
    <row r="225" spans="1:6">
      <c r="A225" s="2">
        <v>4</v>
      </c>
      <c r="B225" s="2">
        <v>2157.5</v>
      </c>
      <c r="C225" s="4">
        <v>5.2886136599918636E-2</v>
      </c>
      <c r="D225" s="2">
        <v>14</v>
      </c>
      <c r="E225" s="4">
        <v>9.9267008519631814E-2</v>
      </c>
      <c r="F225" s="2">
        <v>44.500000000000021</v>
      </c>
    </row>
    <row r="226" spans="1:6">
      <c r="A226" s="3" t="s">
        <v>75</v>
      </c>
      <c r="B226" s="2">
        <v>2180</v>
      </c>
      <c r="C226" s="4">
        <v>5.238532315476057E-2</v>
      </c>
      <c r="D226" s="2">
        <v>15</v>
      </c>
      <c r="E226" s="4">
        <v>9.6270598899597673E-2</v>
      </c>
      <c r="F226" s="2">
        <v>43.562500000000021</v>
      </c>
    </row>
    <row r="227" spans="1:6">
      <c r="A227" s="3" t="s">
        <v>75</v>
      </c>
      <c r="B227" s="2">
        <v>2165</v>
      </c>
      <c r="C227" s="4">
        <v>5.2807365950532585E-2</v>
      </c>
      <c r="D227" s="2">
        <v>16</v>
      </c>
      <c r="E227" s="4">
        <v>9.4985801054778843E-2</v>
      </c>
      <c r="F227" s="2">
        <v>42.625000000000021</v>
      </c>
    </row>
    <row r="228" spans="1:6">
      <c r="A228" s="3" t="s">
        <v>75</v>
      </c>
      <c r="B228" s="2">
        <v>2035</v>
      </c>
      <c r="C228" s="4">
        <v>5.6300074585568897E-2</v>
      </c>
      <c r="D228" s="2">
        <v>17</v>
      </c>
      <c r="E228" s="4">
        <v>9.9136816466932814E-2</v>
      </c>
      <c r="F228" s="2">
        <v>41.687500000000021</v>
      </c>
    </row>
    <row r="229" spans="1:6">
      <c r="A229" s="2">
        <v>5</v>
      </c>
      <c r="B229" s="2">
        <v>2190</v>
      </c>
      <c r="C229" s="4">
        <v>5.2299852487595548E-2</v>
      </c>
      <c r="D229" s="2">
        <v>18</v>
      </c>
      <c r="E229" s="4">
        <v>8.9937141620226785E-2</v>
      </c>
      <c r="F229" s="2">
        <v>40.750000000000021</v>
      </c>
    </row>
    <row r="230" spans="1:6">
      <c r="A230" s="3" t="s">
        <v>75</v>
      </c>
      <c r="B230" s="2">
        <v>2137.5</v>
      </c>
      <c r="C230" s="4">
        <v>5.3663570691434466E-2</v>
      </c>
      <c r="D230" s="2">
        <v>19</v>
      </c>
      <c r="E230" s="4">
        <v>9.3552713355794764E-2</v>
      </c>
      <c r="F230" s="2">
        <v>41.250000000000021</v>
      </c>
    </row>
    <row r="231" spans="1:6">
      <c r="A231" s="3" t="s">
        <v>75</v>
      </c>
      <c r="B231" s="2">
        <v>2132.5</v>
      </c>
      <c r="C231" s="4">
        <v>5.3847569955817381E-2</v>
      </c>
      <c r="D231" s="2">
        <v>20</v>
      </c>
      <c r="E231" s="4">
        <v>9.5129453761506E-2</v>
      </c>
      <c r="F231" s="2">
        <v>41.750000000000021</v>
      </c>
    </row>
    <row r="232" spans="1:6">
      <c r="A232" s="3" t="s">
        <v>75</v>
      </c>
      <c r="B232" s="2">
        <v>2137.5</v>
      </c>
      <c r="C232" s="4">
        <v>5.3774560496380561E-2</v>
      </c>
      <c r="D232" s="2">
        <v>21</v>
      </c>
      <c r="E232" s="4">
        <v>9.6255161611846843E-2</v>
      </c>
      <c r="F232" s="2">
        <v>42.250000000000021</v>
      </c>
    </row>
    <row r="233" spans="1:6">
      <c r="A233" s="3" t="s">
        <v>75</v>
      </c>
      <c r="B233" s="2">
        <v>2135</v>
      </c>
      <c r="C233" s="4">
        <v>5.3894698051499379E-2</v>
      </c>
      <c r="D233" s="2">
        <v>22</v>
      </c>
      <c r="E233" s="4">
        <v>9.7741066050331796E-2</v>
      </c>
      <c r="F233" s="2">
        <v>42.750000000000021</v>
      </c>
    </row>
    <row r="234" spans="1:6">
      <c r="A234" s="2">
        <v>6</v>
      </c>
      <c r="B234" s="2">
        <v>2160</v>
      </c>
      <c r="C234" s="4">
        <v>5.3311461964322328E-2</v>
      </c>
      <c r="D234" s="2">
        <v>23</v>
      </c>
      <c r="E234" s="4">
        <v>9.7923746617407312E-2</v>
      </c>
      <c r="F234" s="2">
        <v>43.250000000000021</v>
      </c>
    </row>
    <row r="235" spans="1:6">
      <c r="A235" s="3" t="s">
        <v>75</v>
      </c>
      <c r="B235" s="2">
        <v>2165</v>
      </c>
      <c r="C235" s="4">
        <v>5.3239898070622495E-2</v>
      </c>
      <c r="D235" s="2">
        <v>24</v>
      </c>
      <c r="E235" s="4">
        <v>9.5951631768356624E-2</v>
      </c>
      <c r="F235" s="2">
        <v>42.437500000000021</v>
      </c>
    </row>
    <row r="236" spans="1:6">
      <c r="A236" s="3" t="s">
        <v>75</v>
      </c>
      <c r="B236" s="2">
        <v>2167.5</v>
      </c>
      <c r="C236" s="4">
        <v>5.3231420186992423E-2</v>
      </c>
      <c r="D236" s="2">
        <v>25</v>
      </c>
      <c r="E236" s="4">
        <v>9.4091615978403972E-2</v>
      </c>
      <c r="F236" s="2">
        <v>41.625000000000021</v>
      </c>
    </row>
    <row r="237" spans="1:6">
      <c r="A237" s="3" t="s">
        <v>75</v>
      </c>
      <c r="B237" s="2">
        <v>2167.5</v>
      </c>
      <c r="C237" s="4">
        <v>5.328596802841918E-2</v>
      </c>
      <c r="D237" s="2">
        <v>26</v>
      </c>
      <c r="E237" s="4">
        <v>9.2337278524866076E-2</v>
      </c>
      <c r="F237" s="2">
        <v>40.812500000000021</v>
      </c>
    </row>
    <row r="238" spans="1:6">
      <c r="A238" s="2">
        <v>7</v>
      </c>
      <c r="B238" s="2">
        <v>2149</v>
      </c>
      <c r="C238" s="4">
        <v>5.2402685525661637E-2</v>
      </c>
      <c r="D238" s="2">
        <v>1</v>
      </c>
      <c r="E238" s="4">
        <v>8.7396524755625912E-2</v>
      </c>
      <c r="F238" s="2">
        <v>40.000000000000021</v>
      </c>
    </row>
    <row r="239" spans="1:6">
      <c r="A239" s="3" t="s">
        <v>75</v>
      </c>
      <c r="B239" s="2">
        <v>2117.5</v>
      </c>
      <c r="C239" s="4">
        <v>5.3237475542612732E-2</v>
      </c>
      <c r="D239" s="2">
        <v>2</v>
      </c>
      <c r="E239" s="4">
        <v>8.8850412357042011E-2</v>
      </c>
      <c r="F239" s="2">
        <v>40.000000000000021</v>
      </c>
    </row>
    <row r="240" spans="1:6">
      <c r="A240" s="3" t="s">
        <v>75</v>
      </c>
      <c r="B240" s="2">
        <v>2117.5</v>
      </c>
      <c r="C240" s="4">
        <v>5.3292035801316362E-2</v>
      </c>
      <c r="D240" s="2">
        <v>3</v>
      </c>
      <c r="E240" s="4">
        <v>8.9002487505420072E-2</v>
      </c>
      <c r="F240" s="2">
        <v>40.000000000000021</v>
      </c>
    </row>
    <row r="241" spans="1:6">
      <c r="A241" s="3" t="s">
        <v>75</v>
      </c>
      <c r="B241" s="2">
        <v>2020</v>
      </c>
      <c r="C241" s="4">
        <v>5.5932689549670143E-2</v>
      </c>
      <c r="D241" s="2">
        <v>4</v>
      </c>
      <c r="E241" s="4">
        <v>9.3489308658548334E-2</v>
      </c>
      <c r="F241" s="2">
        <v>40.000000000000021</v>
      </c>
    </row>
    <row r="242" spans="1:6">
      <c r="A242" s="3" t="s">
        <v>75</v>
      </c>
      <c r="B242" s="2">
        <v>1992.5</v>
      </c>
      <c r="C242" s="4">
        <v>5.6769936194473423E-2</v>
      </c>
      <c r="D242" s="2">
        <v>5</v>
      </c>
      <c r="E242" s="4">
        <v>9.4962136891572776E-2</v>
      </c>
      <c r="F242" s="2">
        <v>40.000000000000021</v>
      </c>
    </row>
    <row r="243" spans="1:6">
      <c r="A243" s="2">
        <v>8</v>
      </c>
      <c r="B243" s="2">
        <v>2027.5</v>
      </c>
      <c r="C243" s="4">
        <v>5.5844589757052171E-2</v>
      </c>
      <c r="D243" s="2">
        <v>6</v>
      </c>
      <c r="E243" s="4">
        <v>9.3475864052538285E-2</v>
      </c>
      <c r="F243" s="2">
        <v>40.000000000000021</v>
      </c>
    </row>
    <row r="244" spans="1:6">
      <c r="A244" s="3" t="s">
        <v>75</v>
      </c>
      <c r="B244" s="2">
        <v>2010</v>
      </c>
      <c r="C244" s="4">
        <v>5.6395054587520789E-2</v>
      </c>
      <c r="D244" s="2">
        <v>7</v>
      </c>
      <c r="E244" s="4">
        <v>9.536690366443755E-2</v>
      </c>
      <c r="F244" s="2">
        <v>40.375000000000021</v>
      </c>
    </row>
    <row r="245" spans="1:6">
      <c r="A245" s="3" t="s">
        <v>75</v>
      </c>
      <c r="B245" s="2">
        <v>1990</v>
      </c>
      <c r="C245" s="4">
        <v>5.7028660557613568E-2</v>
      </c>
      <c r="D245" s="2">
        <v>8</v>
      </c>
      <c r="E245" s="4">
        <v>9.7426481857248878E-2</v>
      </c>
      <c r="F245" s="2">
        <v>40.750000000000021</v>
      </c>
    </row>
    <row r="246" spans="1:6">
      <c r="A246" s="3" t="s">
        <v>75</v>
      </c>
      <c r="B246" s="2">
        <v>2000</v>
      </c>
      <c r="C246" s="4">
        <v>5.680301007403811E-2</v>
      </c>
      <c r="D246" s="2">
        <v>9</v>
      </c>
      <c r="E246" s="4">
        <v>9.8021951997433188E-2</v>
      </c>
      <c r="F246" s="2">
        <v>41.125000000000021</v>
      </c>
    </row>
    <row r="247" spans="1:6">
      <c r="A247" s="2">
        <v>9</v>
      </c>
      <c r="D247" s="2">
        <v>10</v>
      </c>
      <c r="F247" s="2">
        <v>41.500000000000021</v>
      </c>
    </row>
    <row r="248" spans="1:6">
      <c r="A248" s="3" t="s">
        <v>75</v>
      </c>
      <c r="B248" s="2">
        <v>1700</v>
      </c>
      <c r="C248" s="4">
        <v>6.7116018930159185E-2</v>
      </c>
      <c r="D248" s="2">
        <v>11</v>
      </c>
      <c r="E248" s="4">
        <v>0.11582130633974981</v>
      </c>
      <c r="F248" s="2">
        <v>41.000000000000021</v>
      </c>
    </row>
    <row r="249" spans="1:6">
      <c r="A249" s="3" t="s">
        <v>75</v>
      </c>
      <c r="B249" s="2">
        <v>1705</v>
      </c>
      <c r="C249" s="4">
        <v>6.7002634291604621E-2</v>
      </c>
      <c r="D249" s="2">
        <v>12</v>
      </c>
      <c r="E249" s="4">
        <v>0.11428178654376286</v>
      </c>
      <c r="F249" s="2">
        <v>40.500000000000021</v>
      </c>
    </row>
    <row r="250" spans="1:6">
      <c r="A250" s="3" t="s">
        <v>75</v>
      </c>
      <c r="B250" s="2">
        <v>1875</v>
      </c>
      <c r="C250" s="4">
        <v>6.0913705583756347E-2</v>
      </c>
      <c r="D250" s="2">
        <v>13</v>
      </c>
      <c r="E250" s="4">
        <v>0.10256410256410262</v>
      </c>
      <c r="F250" s="2">
        <v>40.000000000000021</v>
      </c>
    </row>
    <row r="251" spans="1:6">
      <c r="A251" s="2">
        <v>10</v>
      </c>
      <c r="B251" s="2">
        <v>1990</v>
      </c>
      <c r="C251" s="4">
        <v>5.7406407928953435E-2</v>
      </c>
      <c r="D251" s="2">
        <v>14</v>
      </c>
      <c r="E251" s="4">
        <v>9.5433975238584989E-2</v>
      </c>
      <c r="F251" s="2">
        <v>39.500000000000021</v>
      </c>
    </row>
    <row r="252" spans="1:6">
      <c r="A252" s="3" t="s">
        <v>75</v>
      </c>
      <c r="B252" s="2">
        <v>2050</v>
      </c>
      <c r="C252" s="4">
        <v>5.5760753008459431E-2</v>
      </c>
      <c r="D252" s="2">
        <v>15</v>
      </c>
      <c r="E252" s="4">
        <v>9.0327335072904108E-2</v>
      </c>
      <c r="F252" s="2">
        <v>38.500000000000021</v>
      </c>
    </row>
    <row r="253" spans="1:6">
      <c r="A253" s="3" t="s">
        <v>75</v>
      </c>
      <c r="B253" s="2">
        <v>1982.5</v>
      </c>
      <c r="C253" s="4">
        <v>5.7754961003060518E-2</v>
      </c>
      <c r="D253" s="2">
        <v>16</v>
      </c>
      <c r="E253" s="4">
        <v>9.1153299593627737E-2</v>
      </c>
      <c r="F253" s="2">
        <v>37.500000000000021</v>
      </c>
    </row>
    <row r="254" spans="1:6">
      <c r="A254" s="3" t="s">
        <v>75</v>
      </c>
      <c r="B254" s="2">
        <v>1995</v>
      </c>
      <c r="C254" s="4">
        <v>5.7450099432864402E-2</v>
      </c>
      <c r="D254" s="2">
        <v>17</v>
      </c>
      <c r="E254" s="4">
        <v>8.8235157386788957E-2</v>
      </c>
      <c r="F254" s="2">
        <v>36.500000000000021</v>
      </c>
    </row>
    <row r="255" spans="1:6">
      <c r="A255" s="3" t="s">
        <v>75</v>
      </c>
      <c r="B255" s="2">
        <v>1995</v>
      </c>
      <c r="C255" s="4">
        <v>5.7513641055891462E-2</v>
      </c>
      <c r="D255" s="2">
        <v>18</v>
      </c>
      <c r="E255" s="4">
        <v>8.589162579912718E-2</v>
      </c>
      <c r="F255" s="2">
        <v>35.500000000000021</v>
      </c>
    </row>
    <row r="256" spans="1:6">
      <c r="A256" s="2">
        <v>11</v>
      </c>
      <c r="B256" s="2">
        <v>2022.5</v>
      </c>
      <c r="C256" s="4">
        <v>5.6778201053065781E-2</v>
      </c>
      <c r="D256" s="2">
        <v>19</v>
      </c>
      <c r="E256" s="4">
        <v>8.2366246673288263E-2</v>
      </c>
      <c r="F256" s="2">
        <v>34.500000000000021</v>
      </c>
    </row>
    <row r="257" spans="1:6">
      <c r="A257" s="3" t="s">
        <v>75</v>
      </c>
      <c r="B257" s="2">
        <v>2065</v>
      </c>
      <c r="C257" s="4">
        <v>5.5645391420146482E-2</v>
      </c>
      <c r="D257" s="2">
        <v>20</v>
      </c>
      <c r="E257" s="4">
        <v>8.0897141686840673E-2</v>
      </c>
      <c r="F257" s="2">
        <v>34.562500000000021</v>
      </c>
    </row>
    <row r="258" spans="1:6">
      <c r="A258" s="3" t="s">
        <v>75</v>
      </c>
      <c r="B258" s="2">
        <v>2105</v>
      </c>
      <c r="C258" s="4">
        <v>5.4623123789070707E-2</v>
      </c>
      <c r="D258" s="2">
        <v>21</v>
      </c>
      <c r="E258" s="4">
        <v>7.9582426155309915E-2</v>
      </c>
      <c r="F258" s="2">
        <v>34.625000000000021</v>
      </c>
    </row>
    <row r="259" spans="1:6">
      <c r="A259" s="3" t="s">
        <v>75</v>
      </c>
      <c r="B259" s="2">
        <v>2122.5</v>
      </c>
      <c r="C259" s="4">
        <v>5.4219379952731822E-2</v>
      </c>
      <c r="D259" s="2">
        <v>22</v>
      </c>
      <c r="E259" s="4">
        <v>7.9172697435199696E-2</v>
      </c>
      <c r="F259" s="2">
        <v>34.687500000000021</v>
      </c>
    </row>
    <row r="260" spans="1:6">
      <c r="A260" s="2">
        <v>12</v>
      </c>
      <c r="B260" s="2">
        <v>2100</v>
      </c>
      <c r="C260" s="4">
        <v>5.4871614491734083E-2</v>
      </c>
      <c r="D260" s="2">
        <v>23</v>
      </c>
      <c r="E260" s="4">
        <v>8.0322713280807284E-2</v>
      </c>
      <c r="F260" s="2">
        <v>34.750000000000021</v>
      </c>
    </row>
    <row r="261" spans="1:6">
      <c r="A261" s="3" t="s">
        <v>75</v>
      </c>
      <c r="B261" s="2">
        <v>2065</v>
      </c>
      <c r="C261" s="4">
        <v>5.5884600687810468E-2</v>
      </c>
      <c r="D261" s="2">
        <v>24</v>
      </c>
      <c r="E261" s="4">
        <v>8.3850114943918599E-2</v>
      </c>
      <c r="F261" s="2">
        <v>35.562500000000021</v>
      </c>
    </row>
    <row r="262" spans="1:6">
      <c r="A262" s="3" t="s">
        <v>75</v>
      </c>
      <c r="B262" s="2">
        <v>2045</v>
      </c>
      <c r="C262" s="4">
        <v>5.6506725266233612E-2</v>
      </c>
      <c r="D262" s="2">
        <v>25</v>
      </c>
      <c r="E262" s="4">
        <v>8.6859721435079695E-2</v>
      </c>
      <c r="F262" s="2">
        <v>36.375000000000021</v>
      </c>
    </row>
    <row r="263" spans="1:6">
      <c r="A263" s="3" t="s">
        <v>75</v>
      </c>
      <c r="B263" s="2">
        <v>2025</v>
      </c>
      <c r="C263" s="4">
        <v>5.7142857142857141E-2</v>
      </c>
      <c r="D263" s="2">
        <v>26</v>
      </c>
      <c r="E263" s="4">
        <v>8.9953889182855906E-2</v>
      </c>
      <c r="F263" s="2">
        <v>37.187500000000021</v>
      </c>
    </row>
    <row r="264" spans="1:6">
      <c r="A264" s="2">
        <v>1793</v>
      </c>
      <c r="B264" s="2">
        <v>1880</v>
      </c>
      <c r="C264" s="4">
        <v>5.9909367879361991E-2</v>
      </c>
      <c r="D264" s="2">
        <v>1</v>
      </c>
      <c r="E264" s="4">
        <v>9.4920291293849449E-2</v>
      </c>
      <c r="F264" s="2">
        <v>38.000000000000021</v>
      </c>
    </row>
    <row r="265" spans="1:6">
      <c r="A265" s="3" t="s">
        <v>75</v>
      </c>
      <c r="B265" s="2">
        <v>1835</v>
      </c>
      <c r="C265" s="4">
        <v>6.1452807395346393E-2</v>
      </c>
      <c r="D265" s="2">
        <v>2</v>
      </c>
      <c r="E265" s="4">
        <v>0.10039468125502397</v>
      </c>
      <c r="F265" s="2">
        <v>39.15000000000002</v>
      </c>
    </row>
    <row r="266" spans="1:6">
      <c r="A266" s="3" t="s">
        <v>75</v>
      </c>
      <c r="B266" s="2">
        <v>1845</v>
      </c>
      <c r="C266" s="4">
        <v>6.1190868439632853E-2</v>
      </c>
      <c r="D266" s="2">
        <v>3</v>
      </c>
      <c r="E266" s="4">
        <v>0.10299661363491155</v>
      </c>
      <c r="F266" s="2">
        <v>40.300000000000018</v>
      </c>
    </row>
    <row r="267" spans="1:6">
      <c r="A267" s="3" t="s">
        <v>75</v>
      </c>
      <c r="B267" s="2">
        <v>1877.5</v>
      </c>
      <c r="C267" s="4">
        <v>6.0197571516772998E-2</v>
      </c>
      <c r="D267" s="2">
        <v>4</v>
      </c>
      <c r="E267" s="4">
        <v>0.10431744044603769</v>
      </c>
      <c r="F267" s="2">
        <v>41.450000000000017</v>
      </c>
    </row>
    <row r="268" spans="1:6">
      <c r="A268" s="3" t="s">
        <v>75</v>
      </c>
      <c r="B268" s="2">
        <v>1880</v>
      </c>
      <c r="C268" s="4">
        <v>6.0186733197870317E-2</v>
      </c>
      <c r="D268" s="2">
        <v>5</v>
      </c>
      <c r="E268" s="4">
        <v>0.10731275655041229</v>
      </c>
      <c r="F268" s="2">
        <v>42.600000000000016</v>
      </c>
    </row>
    <row r="269" spans="1:6">
      <c r="A269" s="2">
        <v>2</v>
      </c>
      <c r="B269" s="2">
        <v>1867.5</v>
      </c>
      <c r="C269" s="4">
        <v>6.0662622491833879E-2</v>
      </c>
      <c r="D269" s="2">
        <v>6</v>
      </c>
      <c r="E269" s="4">
        <v>0.11122355690490512</v>
      </c>
      <c r="F269" s="2">
        <v>43.750000000000014</v>
      </c>
    </row>
    <row r="270" spans="1:6">
      <c r="A270" s="3" t="s">
        <v>75</v>
      </c>
      <c r="B270" s="2">
        <v>1922</v>
      </c>
      <c r="C270" s="4">
        <v>5.8997645136728304E-2</v>
      </c>
      <c r="D270" s="2">
        <v>7</v>
      </c>
      <c r="E270" s="4">
        <v>0.10778462061007059</v>
      </c>
      <c r="F270" s="2">
        <v>43.562500000000014</v>
      </c>
    </row>
    <row r="271" spans="1:6">
      <c r="A271" s="3" t="s">
        <v>75</v>
      </c>
      <c r="B271" s="2">
        <v>1950</v>
      </c>
      <c r="C271" s="4">
        <v>5.8208955223880594E-2</v>
      </c>
      <c r="D271" s="2">
        <v>8</v>
      </c>
      <c r="E271" s="4">
        <v>0.10596664317594554</v>
      </c>
      <c r="F271" s="2">
        <v>43.375000000000014</v>
      </c>
    </row>
    <row r="272" spans="1:6">
      <c r="A272" s="3" t="s">
        <v>75</v>
      </c>
      <c r="B272" s="2">
        <v>1975</v>
      </c>
      <c r="C272" s="4">
        <v>5.7529194837123543E-2</v>
      </c>
      <c r="D272" s="2">
        <v>9</v>
      </c>
      <c r="E272" s="4">
        <v>0.10435328090951425</v>
      </c>
      <c r="F272" s="2">
        <v>43.187500000000014</v>
      </c>
    </row>
    <row r="273" spans="1:6">
      <c r="A273" s="2">
        <v>3</v>
      </c>
      <c r="B273" s="2">
        <v>1935</v>
      </c>
      <c r="C273" s="4">
        <v>5.8796924468566263E-2</v>
      </c>
      <c r="D273" s="2">
        <v>10</v>
      </c>
      <c r="E273" s="4">
        <v>0.10629599345870813</v>
      </c>
      <c r="F273" s="2">
        <v>43.000000000000014</v>
      </c>
    </row>
    <row r="274" spans="1:6">
      <c r="A274" s="3" t="s">
        <v>75</v>
      </c>
      <c r="B274" s="2">
        <v>1965</v>
      </c>
      <c r="C274" s="4">
        <v>5.7953785570993385E-2</v>
      </c>
      <c r="D274" s="2">
        <v>11</v>
      </c>
      <c r="E274" s="4">
        <v>0.10796911548378473</v>
      </c>
      <c r="F274" s="2">
        <v>44.250000000000014</v>
      </c>
    </row>
    <row r="275" spans="1:6">
      <c r="A275" s="3" t="s">
        <v>75</v>
      </c>
      <c r="B275" s="2">
        <v>1975</v>
      </c>
      <c r="C275" s="4">
        <v>5.7720769610261471E-2</v>
      </c>
      <c r="D275" s="2">
        <v>12</v>
      </c>
      <c r="E275" s="4">
        <v>0.11075050709939152</v>
      </c>
      <c r="F275" s="2">
        <v>45.500000000000014</v>
      </c>
    </row>
    <row r="276" spans="1:6">
      <c r="A276" s="3" t="s">
        <v>75</v>
      </c>
      <c r="B276" s="2">
        <v>1970</v>
      </c>
      <c r="C276" s="4">
        <v>5.7933698101062116E-2</v>
      </c>
      <c r="D276" s="2">
        <v>13</v>
      </c>
      <c r="E276" s="4">
        <v>0.1144209098603902</v>
      </c>
      <c r="F276" s="2">
        <v>46.750000000000014</v>
      </c>
    </row>
    <row r="277" spans="1:6">
      <c r="A277" s="2">
        <v>4</v>
      </c>
      <c r="B277" s="2">
        <v>1980</v>
      </c>
      <c r="C277" s="4">
        <v>5.7700843320017757E-2</v>
      </c>
      <c r="D277" s="2">
        <v>14</v>
      </c>
      <c r="E277" s="4">
        <v>0.11722272317403069</v>
      </c>
      <c r="F277" s="2">
        <v>48.000000000000014</v>
      </c>
    </row>
    <row r="278" spans="1:6">
      <c r="A278" s="3" t="s">
        <v>75</v>
      </c>
      <c r="B278" s="2">
        <v>1995</v>
      </c>
      <c r="C278" s="4">
        <v>5.7323436466524581E-2</v>
      </c>
      <c r="D278" s="2">
        <v>15</v>
      </c>
      <c r="E278" s="4">
        <v>0.12097292722218199</v>
      </c>
      <c r="F278" s="2">
        <v>49.750000000000014</v>
      </c>
    </row>
    <row r="279" spans="1:6">
      <c r="A279" s="3" t="s">
        <v>75</v>
      </c>
      <c r="B279" s="2">
        <v>2040</v>
      </c>
      <c r="C279" s="4">
        <v>5.6098964326812426E-2</v>
      </c>
      <c r="D279" s="2">
        <v>16</v>
      </c>
      <c r="E279" s="4">
        <v>0.12280798297747454</v>
      </c>
      <c r="F279" s="2">
        <v>51.500000000000014</v>
      </c>
    </row>
    <row r="280" spans="1:6">
      <c r="A280" s="3" t="s">
        <v>75</v>
      </c>
      <c r="B280" s="2">
        <v>2057.5</v>
      </c>
      <c r="C280" s="4">
        <v>5.5673193595203542E-2</v>
      </c>
      <c r="D280" s="2">
        <v>17</v>
      </c>
      <c r="E280" s="4">
        <v>0.12632712292144591</v>
      </c>
      <c r="F280" s="2">
        <v>53.250000000000014</v>
      </c>
    </row>
    <row r="281" spans="1:6">
      <c r="A281" s="2">
        <v>5</v>
      </c>
      <c r="B281" s="2">
        <v>2082.5</v>
      </c>
      <c r="C281" s="4">
        <v>5.5051051616242415E-2</v>
      </c>
      <c r="D281" s="2">
        <v>18</v>
      </c>
      <c r="E281" s="4">
        <v>0.12934231393098128</v>
      </c>
      <c r="F281" s="2">
        <v>55.000000000000014</v>
      </c>
    </row>
    <row r="282" spans="1:6">
      <c r="A282" s="3" t="s">
        <v>75</v>
      </c>
      <c r="B282" s="2">
        <v>2105</v>
      </c>
      <c r="C282" s="4">
        <v>5.450860723520231E-2</v>
      </c>
      <c r="D282" s="2">
        <v>19</v>
      </c>
      <c r="E282" s="4">
        <v>0.1311453830159609</v>
      </c>
      <c r="F282" s="2">
        <v>56.200000000000017</v>
      </c>
    </row>
    <row r="283" spans="1:6">
      <c r="A283" s="3" t="s">
        <v>75</v>
      </c>
      <c r="B283" s="2">
        <v>2110</v>
      </c>
      <c r="C283" s="4">
        <v>5.4433795477807759E-2</v>
      </c>
      <c r="D283" s="2">
        <v>20</v>
      </c>
      <c r="E283" s="4">
        <v>0.13409447592577067</v>
      </c>
      <c r="F283" s="2">
        <v>57.40000000000002</v>
      </c>
    </row>
    <row r="284" spans="1:6">
      <c r="A284" s="3" t="s">
        <v>75</v>
      </c>
      <c r="B284" s="2">
        <v>2097.5</v>
      </c>
      <c r="C284" s="4">
        <v>5.4822763160977436E-2</v>
      </c>
      <c r="D284" s="2">
        <v>21</v>
      </c>
      <c r="E284" s="4">
        <v>0.13827235188238324</v>
      </c>
      <c r="F284" s="2">
        <v>58.600000000000023</v>
      </c>
    </row>
    <row r="285" spans="1:6">
      <c r="A285" s="3" t="s">
        <v>75</v>
      </c>
      <c r="B285" s="2">
        <v>2100</v>
      </c>
      <c r="C285" s="4">
        <v>5.4813773717498245E-2</v>
      </c>
      <c r="D285" s="2">
        <v>22</v>
      </c>
      <c r="E285" s="4">
        <v>0.14147149278448079</v>
      </c>
      <c r="F285" s="2">
        <v>59.800000000000026</v>
      </c>
    </row>
    <row r="286" spans="1:6">
      <c r="A286" s="2">
        <v>6</v>
      </c>
      <c r="B286" s="2">
        <v>2112.5</v>
      </c>
      <c r="C286" s="4">
        <v>5.4539098007225263E-2</v>
      </c>
      <c r="D286" s="2">
        <v>23</v>
      </c>
      <c r="E286" s="4">
        <v>0.14397458204100166</v>
      </c>
      <c r="F286" s="2">
        <v>61.000000000000028</v>
      </c>
    </row>
    <row r="287" spans="1:6">
      <c r="A287" s="3" t="s">
        <v>75</v>
      </c>
      <c r="B287" s="2">
        <v>2075</v>
      </c>
      <c r="C287" s="4">
        <v>5.5608365019011403E-2</v>
      </c>
      <c r="D287" s="2">
        <v>24</v>
      </c>
      <c r="E287" s="4">
        <v>0.15426736574318253</v>
      </c>
      <c r="F287" s="2">
        <v>63.750000000000028</v>
      </c>
    </row>
    <row r="288" spans="1:6">
      <c r="A288" s="3" t="s">
        <v>75</v>
      </c>
      <c r="B288" s="2">
        <v>2127.5</v>
      </c>
      <c r="C288" s="4">
        <v>5.4258353235791965E-2</v>
      </c>
      <c r="D288" s="2">
        <v>25</v>
      </c>
      <c r="E288" s="4">
        <v>0.15762196557964139</v>
      </c>
      <c r="F288" s="2">
        <v>66.500000000000028</v>
      </c>
    </row>
    <row r="289" spans="1:6">
      <c r="A289" s="3" t="s">
        <v>75</v>
      </c>
      <c r="B289" s="2">
        <v>2172.5</v>
      </c>
      <c r="C289" s="4">
        <v>5.3160070880094508E-2</v>
      </c>
      <c r="D289" s="2">
        <v>26</v>
      </c>
      <c r="E289" s="4">
        <v>0.1614815102699132</v>
      </c>
      <c r="F289" s="2">
        <v>69.250000000000028</v>
      </c>
    </row>
    <row r="290" spans="1:6">
      <c r="A290" s="3" t="s">
        <v>75</v>
      </c>
      <c r="B290" s="2">
        <v>2162.5</v>
      </c>
      <c r="C290" s="4">
        <v>5.3412462908011868E-2</v>
      </c>
      <c r="D290" s="2">
        <v>26</v>
      </c>
      <c r="E290" s="4">
        <v>0.16927899686520376</v>
      </c>
      <c r="F290" s="2">
        <v>72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85"/>
  <sheetViews>
    <sheetView topLeftCell="A7" zoomScaleSheetLayoutView="1" workbookViewId="0">
      <selection activeCell="F7" sqref="F7"/>
    </sheetView>
  </sheetViews>
  <sheetFormatPr defaultRowHeight="12.75"/>
  <cols>
    <col min="1" max="15" width="9.140625" style="2"/>
    <col min="16" max="16384" width="9.140625" style="1"/>
  </cols>
  <sheetData>
    <row r="1" spans="1:15">
      <c r="B1" s="2" t="s">
        <v>74</v>
      </c>
      <c r="C1" s="2" t="s">
        <v>51</v>
      </c>
      <c r="D1" s="2" t="s">
        <v>73</v>
      </c>
      <c r="E1" s="2" t="s">
        <v>72</v>
      </c>
      <c r="F1" s="2" t="s">
        <v>55</v>
      </c>
      <c r="H1" s="2" t="s">
        <v>71</v>
      </c>
      <c r="N1" s="2" t="s">
        <v>70</v>
      </c>
      <c r="O1" s="2" t="s">
        <v>69</v>
      </c>
    </row>
    <row r="2" spans="1:15">
      <c r="G2" s="2" t="s">
        <v>68</v>
      </c>
      <c r="I2" s="2" t="s">
        <v>68</v>
      </c>
    </row>
    <row r="3" spans="1:15">
      <c r="M3" s="2" t="s">
        <v>25</v>
      </c>
      <c r="N3" s="2">
        <v>36</v>
      </c>
    </row>
    <row r="4" spans="1:15">
      <c r="E4" s="2">
        <v>0.97</v>
      </c>
      <c r="M4" s="3" t="s">
        <v>10</v>
      </c>
      <c r="N4" s="2">
        <v>36</v>
      </c>
    </row>
    <row r="5" spans="1:15">
      <c r="A5" s="2" t="s">
        <v>0</v>
      </c>
      <c r="C5" s="2">
        <v>90</v>
      </c>
      <c r="E5" s="2">
        <v>0.96</v>
      </c>
      <c r="M5" s="3" t="s">
        <v>9</v>
      </c>
      <c r="N5" s="2">
        <v>34</v>
      </c>
    </row>
    <row r="6" spans="1:15">
      <c r="A6" s="2" t="s">
        <v>18</v>
      </c>
      <c r="C6" s="2">
        <v>105</v>
      </c>
      <c r="E6" s="2">
        <v>0.95</v>
      </c>
      <c r="M6" s="2" t="s">
        <v>24</v>
      </c>
      <c r="N6" s="2">
        <v>34</v>
      </c>
    </row>
    <row r="7" spans="1:15">
      <c r="A7" s="2">
        <v>1790</v>
      </c>
      <c r="C7" s="2">
        <v>124</v>
      </c>
      <c r="E7" s="2">
        <v>0.96</v>
      </c>
      <c r="F7" s="2">
        <f>(C7-C6)</f>
        <v>19</v>
      </c>
      <c r="M7" s="3" t="s">
        <v>10</v>
      </c>
      <c r="N7" s="2">
        <v>34</v>
      </c>
    </row>
    <row r="8" spans="1:15">
      <c r="A8" s="2" t="s">
        <v>15</v>
      </c>
      <c r="C8" s="2">
        <v>142</v>
      </c>
      <c r="E8" s="2">
        <v>0.95</v>
      </c>
      <c r="F8" s="2">
        <f t="shared" ref="F8:F18" si="0">(C8-C7)</f>
        <v>18</v>
      </c>
      <c r="M8" s="3" t="s">
        <v>9</v>
      </c>
      <c r="N8" s="2">
        <v>34</v>
      </c>
    </row>
    <row r="9" spans="1:15">
      <c r="A9" s="2" t="s">
        <v>13</v>
      </c>
      <c r="C9" s="2">
        <v>170</v>
      </c>
      <c r="E9" s="2">
        <v>0.94</v>
      </c>
      <c r="F9" s="2">
        <f t="shared" si="0"/>
        <v>28</v>
      </c>
      <c r="M9" s="2" t="s">
        <v>23</v>
      </c>
      <c r="N9" s="2">
        <v>34</v>
      </c>
    </row>
    <row r="10" spans="1:15">
      <c r="A10" s="2" t="s">
        <v>11</v>
      </c>
      <c r="C10" s="2">
        <v>190.23749999999998</v>
      </c>
      <c r="E10" s="2">
        <v>0.94</v>
      </c>
      <c r="F10" s="2">
        <f t="shared" si="0"/>
        <v>20.237499999999983</v>
      </c>
      <c r="M10" s="3" t="s">
        <v>10</v>
      </c>
      <c r="N10" s="2">
        <v>34</v>
      </c>
    </row>
    <row r="11" spans="1:15">
      <c r="A11" s="2" t="s">
        <v>7</v>
      </c>
      <c r="C11" s="2">
        <v>212.79499999999999</v>
      </c>
      <c r="E11" s="2">
        <v>0.94</v>
      </c>
      <c r="F11" s="2">
        <f t="shared" si="0"/>
        <v>22.557500000000005</v>
      </c>
      <c r="M11" s="3" t="s">
        <v>9</v>
      </c>
      <c r="N11" s="2">
        <v>32</v>
      </c>
    </row>
    <row r="12" spans="1:15">
      <c r="A12" s="2" t="s">
        <v>5</v>
      </c>
      <c r="C12" s="2">
        <v>258.60625000000005</v>
      </c>
      <c r="E12" s="2">
        <v>0.95</v>
      </c>
      <c r="F12" s="2">
        <f t="shared" si="0"/>
        <v>45.811250000000058</v>
      </c>
      <c r="M12" s="2" t="s">
        <v>22</v>
      </c>
      <c r="N12" s="2">
        <v>32</v>
      </c>
    </row>
    <row r="13" spans="1:15">
      <c r="A13" s="2" t="s">
        <v>4</v>
      </c>
      <c r="C13" s="2">
        <v>307.66874999999999</v>
      </c>
      <c r="E13" s="2">
        <v>0.95</v>
      </c>
      <c r="F13" s="2">
        <f t="shared" si="0"/>
        <v>49.062499999999943</v>
      </c>
      <c r="M13" s="3" t="s">
        <v>10</v>
      </c>
      <c r="N13" s="2">
        <v>31</v>
      </c>
    </row>
    <row r="14" spans="1:15">
      <c r="A14" s="2" t="s">
        <v>3</v>
      </c>
      <c r="C14" s="2">
        <v>348.88124999999997</v>
      </c>
      <c r="E14" s="2">
        <v>0.92</v>
      </c>
      <c r="F14" s="2">
        <f t="shared" si="0"/>
        <v>41.212499999999977</v>
      </c>
      <c r="M14" s="3" t="s">
        <v>9</v>
      </c>
      <c r="N14" s="2">
        <v>31</v>
      </c>
    </row>
    <row r="15" spans="1:15">
      <c r="A15" s="2" t="s">
        <v>2</v>
      </c>
      <c r="C15" s="2">
        <v>390.29374999999999</v>
      </c>
      <c r="E15" s="2">
        <v>0.91</v>
      </c>
      <c r="F15" s="2">
        <f t="shared" si="0"/>
        <v>41.412500000000023</v>
      </c>
      <c r="M15" s="2" t="s">
        <v>40</v>
      </c>
      <c r="N15" s="2">
        <v>31</v>
      </c>
    </row>
    <row r="16" spans="1:15">
      <c r="A16" s="2" t="s">
        <v>1</v>
      </c>
      <c r="C16" s="2">
        <v>437.09499999999997</v>
      </c>
      <c r="E16" s="2">
        <v>0.91</v>
      </c>
      <c r="F16" s="2">
        <f t="shared" si="0"/>
        <v>46.801249999999982</v>
      </c>
      <c r="M16" s="3" t="s">
        <v>10</v>
      </c>
      <c r="N16" s="2">
        <v>29</v>
      </c>
    </row>
    <row r="17" spans="1:14">
      <c r="A17" s="2" t="s">
        <v>0</v>
      </c>
      <c r="C17" s="2">
        <v>485.09500000000003</v>
      </c>
      <c r="E17" s="2">
        <v>0.9</v>
      </c>
      <c r="F17" s="2">
        <f t="shared" si="0"/>
        <v>48.000000000000057</v>
      </c>
      <c r="M17" s="3" t="s">
        <v>9</v>
      </c>
      <c r="N17" s="2">
        <v>28</v>
      </c>
    </row>
    <row r="18" spans="1:14">
      <c r="A18" s="2" t="s">
        <v>18</v>
      </c>
      <c r="B18" s="2">
        <v>1</v>
      </c>
      <c r="C18" s="2">
        <v>529.09500000000003</v>
      </c>
      <c r="E18" s="2">
        <v>0.92</v>
      </c>
      <c r="F18" s="2">
        <f t="shared" si="0"/>
        <v>44</v>
      </c>
      <c r="M18" s="2" t="s">
        <v>20</v>
      </c>
      <c r="N18" s="2">
        <v>28</v>
      </c>
    </row>
    <row r="19" spans="1:14">
      <c r="A19" s="2">
        <f>A7+1</f>
        <v>1791</v>
      </c>
      <c r="B19" s="2">
        <v>4</v>
      </c>
      <c r="C19" s="2">
        <v>627.50545099999999</v>
      </c>
      <c r="D19" s="2">
        <v>0.96670800000000001</v>
      </c>
      <c r="E19" s="2">
        <v>0.91</v>
      </c>
      <c r="F19" s="2">
        <f t="shared" ref="F19:F50" si="1">(C19-C18)*D19</f>
        <v>95.134170265307972</v>
      </c>
      <c r="H19" s="2">
        <f>F19</f>
        <v>95.134170265307972</v>
      </c>
      <c r="M19" s="3" t="s">
        <v>10</v>
      </c>
      <c r="N19" s="2">
        <v>27</v>
      </c>
    </row>
    <row r="20" spans="1:14">
      <c r="A20" s="2" t="s">
        <v>15</v>
      </c>
      <c r="B20" s="2">
        <v>15</v>
      </c>
      <c r="C20" s="2">
        <v>724.05441899999994</v>
      </c>
      <c r="D20" s="2">
        <v>0.96379800000000004</v>
      </c>
      <c r="E20" s="2">
        <v>0.91</v>
      </c>
      <c r="F20" s="2">
        <f t="shared" si="1"/>
        <v>93.05370226046395</v>
      </c>
      <c r="H20" s="2">
        <f t="shared" ref="H20:H51" si="2">AVERAGEA(F19:F20)</f>
        <v>94.093936262885961</v>
      </c>
      <c r="M20" s="3" t="s">
        <v>9</v>
      </c>
      <c r="N20" s="2">
        <v>26</v>
      </c>
    </row>
    <row r="21" spans="1:14">
      <c r="A21" s="2" t="s">
        <v>13</v>
      </c>
      <c r="B21" s="2">
        <v>42</v>
      </c>
      <c r="C21" s="2">
        <v>809.87088100000005</v>
      </c>
      <c r="D21" s="2">
        <v>0.95771700000000004</v>
      </c>
      <c r="E21" s="2">
        <v>0.9</v>
      </c>
      <c r="F21" s="2">
        <f t="shared" si="1"/>
        <v>82.187884537254121</v>
      </c>
      <c r="H21" s="2">
        <f t="shared" si="2"/>
        <v>87.620793398859036</v>
      </c>
      <c r="M21" s="2" t="s">
        <v>19</v>
      </c>
      <c r="N21" s="2">
        <v>25</v>
      </c>
    </row>
    <row r="22" spans="1:14">
      <c r="A22" s="2" t="s">
        <v>11</v>
      </c>
      <c r="B22" s="2">
        <v>90</v>
      </c>
      <c r="C22" s="2">
        <v>899.44114200000001</v>
      </c>
      <c r="D22" s="2">
        <v>0.95040599999999997</v>
      </c>
      <c r="E22" s="2">
        <v>0.89</v>
      </c>
      <c r="F22" s="2">
        <f t="shared" si="1"/>
        <v>85.128113475965961</v>
      </c>
      <c r="H22" s="2">
        <f t="shared" si="2"/>
        <v>83.657999006610041</v>
      </c>
      <c r="M22" s="3" t="s">
        <v>10</v>
      </c>
      <c r="N22" s="2">
        <v>24</v>
      </c>
    </row>
    <row r="23" spans="1:14">
      <c r="A23" s="2" t="s">
        <v>7</v>
      </c>
      <c r="B23" s="2">
        <v>129</v>
      </c>
      <c r="C23" s="2">
        <v>986.32757200000003</v>
      </c>
      <c r="D23" s="2">
        <v>0.93571700000000002</v>
      </c>
      <c r="E23" s="2">
        <v>0.85</v>
      </c>
      <c r="F23" s="2">
        <f t="shared" si="1"/>
        <v>81.301109620310015</v>
      </c>
      <c r="H23" s="2">
        <f t="shared" si="2"/>
        <v>83.214611548137981</v>
      </c>
      <c r="M23" s="3" t="s">
        <v>9</v>
      </c>
      <c r="N23" s="2">
        <v>23</v>
      </c>
    </row>
    <row r="24" spans="1:14">
      <c r="A24" s="2" t="s">
        <v>5</v>
      </c>
      <c r="B24" s="2">
        <v>170</v>
      </c>
      <c r="C24" s="2">
        <v>1042.8882189999999</v>
      </c>
      <c r="D24" s="2">
        <v>0.929504</v>
      </c>
      <c r="E24" s="2">
        <v>0.85</v>
      </c>
      <c r="F24" s="2">
        <f t="shared" si="1"/>
        <v>52.573347629087912</v>
      </c>
      <c r="H24" s="2">
        <f t="shared" si="2"/>
        <v>66.93722862469896</v>
      </c>
      <c r="M24" s="2" t="s">
        <v>17</v>
      </c>
      <c r="N24" s="2">
        <v>22</v>
      </c>
    </row>
    <row r="25" spans="1:14">
      <c r="A25" s="2" t="s">
        <v>4</v>
      </c>
      <c r="B25" s="2">
        <v>215</v>
      </c>
      <c r="C25" s="2">
        <v>1110.820712</v>
      </c>
      <c r="D25" s="2">
        <v>0.92061199999999999</v>
      </c>
      <c r="E25" s="2">
        <v>0.87</v>
      </c>
      <c r="F25" s="2">
        <f t="shared" si="1"/>
        <v>62.539468245716023</v>
      </c>
      <c r="H25" s="2">
        <f t="shared" si="2"/>
        <v>57.556407937401971</v>
      </c>
      <c r="M25" s="3" t="s">
        <v>10</v>
      </c>
      <c r="N25" s="2">
        <v>21</v>
      </c>
    </row>
    <row r="26" spans="1:14">
      <c r="A26" s="2" t="s">
        <v>3</v>
      </c>
      <c r="B26" s="2">
        <v>246</v>
      </c>
      <c r="C26" s="2">
        <v>1164.4646990000001</v>
      </c>
      <c r="D26" s="2">
        <v>0.898899</v>
      </c>
      <c r="E26" s="2">
        <v>0.79</v>
      </c>
      <c r="F26" s="2">
        <f t="shared" si="1"/>
        <v>48.220526270313137</v>
      </c>
      <c r="H26" s="2">
        <f t="shared" si="2"/>
        <v>55.379997258014583</v>
      </c>
      <c r="M26" s="3" t="s">
        <v>9</v>
      </c>
      <c r="N26" s="2">
        <v>20</v>
      </c>
    </row>
    <row r="27" spans="1:14">
      <c r="A27" s="2" t="s">
        <v>2</v>
      </c>
      <c r="B27" s="2">
        <v>284</v>
      </c>
      <c r="C27" s="2">
        <v>1201.988075</v>
      </c>
      <c r="D27" s="2">
        <v>0.89795499999999995</v>
      </c>
      <c r="E27" s="2">
        <v>0.82</v>
      </c>
      <c r="F27" s="2">
        <f t="shared" si="1"/>
        <v>33.694303096079885</v>
      </c>
      <c r="H27" s="2">
        <f t="shared" si="2"/>
        <v>40.957414683196511</v>
      </c>
      <c r="M27" s="2" t="s">
        <v>16</v>
      </c>
      <c r="N27" s="2">
        <v>19</v>
      </c>
    </row>
    <row r="28" spans="1:14">
      <c r="A28" s="2" t="s">
        <v>1</v>
      </c>
      <c r="B28" s="2">
        <v>312</v>
      </c>
      <c r="C28" s="2">
        <v>1301.2797989999999</v>
      </c>
      <c r="D28" s="2">
        <v>0.89563499999999996</v>
      </c>
      <c r="E28" s="2">
        <v>0.84</v>
      </c>
      <c r="F28" s="2">
        <f t="shared" si="1"/>
        <v>88.929143224739931</v>
      </c>
      <c r="H28" s="2">
        <f t="shared" si="2"/>
        <v>61.311723160409912</v>
      </c>
      <c r="M28" s="3" t="s">
        <v>10</v>
      </c>
      <c r="N28" s="2">
        <v>19</v>
      </c>
    </row>
    <row r="29" spans="1:14">
      <c r="A29" s="2" t="s">
        <v>0</v>
      </c>
      <c r="B29" s="2">
        <v>337</v>
      </c>
      <c r="C29" s="2">
        <v>1368.218523</v>
      </c>
      <c r="D29" s="2">
        <v>0.87919700000000001</v>
      </c>
      <c r="E29" s="2">
        <v>0.82</v>
      </c>
      <c r="F29" s="2">
        <f t="shared" si="1"/>
        <v>58.852325324628083</v>
      </c>
      <c r="H29" s="2">
        <f t="shared" si="2"/>
        <v>73.890734274684007</v>
      </c>
      <c r="M29" s="3" t="s">
        <v>9</v>
      </c>
      <c r="N29" s="2">
        <v>18</v>
      </c>
    </row>
    <row r="30" spans="1:14">
      <c r="A30" s="2" t="s">
        <v>18</v>
      </c>
      <c r="B30" s="2">
        <v>369</v>
      </c>
      <c r="C30" s="2">
        <v>1395.8973970000002</v>
      </c>
      <c r="D30" s="2">
        <v>0.85574300000000003</v>
      </c>
      <c r="E30" s="2">
        <v>0.77</v>
      </c>
      <c r="F30" s="2">
        <f t="shared" si="1"/>
        <v>23.686002673382152</v>
      </c>
      <c r="H30" s="2">
        <f t="shared" si="2"/>
        <v>41.269163999005116</v>
      </c>
      <c r="J30" s="2">
        <f>SUM(F19:F30)</f>
        <v>805.30009662324926</v>
      </c>
      <c r="M30" s="2" t="s">
        <v>14</v>
      </c>
      <c r="N30" s="2">
        <v>17</v>
      </c>
    </row>
    <row r="31" spans="1:14">
      <c r="A31" s="2">
        <f>A19+1</f>
        <v>1792</v>
      </c>
      <c r="B31" s="2">
        <v>391</v>
      </c>
      <c r="C31" s="2">
        <v>1462.259131</v>
      </c>
      <c r="D31" s="2">
        <v>0.81351099999999998</v>
      </c>
      <c r="E31" s="2">
        <v>0.72</v>
      </c>
      <c r="F31" s="2">
        <f t="shared" si="1"/>
        <v>53.986000588073871</v>
      </c>
      <c r="H31" s="2">
        <f t="shared" si="2"/>
        <v>38.836001630728013</v>
      </c>
      <c r="M31" s="3" t="s">
        <v>10</v>
      </c>
      <c r="N31" s="2">
        <v>17</v>
      </c>
    </row>
    <row r="32" spans="1:14">
      <c r="A32" s="2" t="s">
        <v>15</v>
      </c>
      <c r="B32" s="2">
        <v>418</v>
      </c>
      <c r="C32" s="2">
        <v>1531.0475990000002</v>
      </c>
      <c r="D32" s="2">
        <v>0.759606</v>
      </c>
      <c r="E32" s="2">
        <v>0.61</v>
      </c>
      <c r="F32" s="2">
        <f t="shared" si="1"/>
        <v>52.252133023608145</v>
      </c>
      <c r="H32" s="2">
        <f t="shared" si="2"/>
        <v>53.119066805841008</v>
      </c>
      <c r="M32" s="3" t="s">
        <v>9</v>
      </c>
      <c r="N32" s="2">
        <v>16</v>
      </c>
    </row>
    <row r="33" spans="1:15">
      <c r="A33" s="2" t="s">
        <v>13</v>
      </c>
      <c r="B33" s="2">
        <v>457</v>
      </c>
      <c r="C33" s="2">
        <v>1571.754592</v>
      </c>
      <c r="D33" s="2">
        <v>0.7399</v>
      </c>
      <c r="E33" s="2">
        <v>0.59</v>
      </c>
      <c r="F33" s="2">
        <f t="shared" si="1"/>
        <v>30.119104120699841</v>
      </c>
      <c r="H33" s="2">
        <f t="shared" si="2"/>
        <v>41.185618572153992</v>
      </c>
      <c r="M33" s="2" t="s">
        <v>12</v>
      </c>
      <c r="N33" s="2">
        <v>15</v>
      </c>
      <c r="O33" s="2">
        <v>11.764705882352942</v>
      </c>
    </row>
    <row r="34" spans="1:15">
      <c r="A34" s="2" t="s">
        <v>11</v>
      </c>
      <c r="B34" s="2">
        <v>487</v>
      </c>
      <c r="C34" s="2">
        <v>1623.2049820000002</v>
      </c>
      <c r="D34" s="2">
        <v>0.75707000000000002</v>
      </c>
      <c r="E34" s="2">
        <v>0.68</v>
      </c>
      <c r="F34" s="2">
        <f t="shared" si="1"/>
        <v>38.95154675730015</v>
      </c>
      <c r="H34" s="2">
        <f t="shared" si="2"/>
        <v>34.535325438999998</v>
      </c>
      <c r="M34" s="3" t="s">
        <v>10</v>
      </c>
      <c r="N34" s="2">
        <v>13</v>
      </c>
      <c r="O34" s="2">
        <v>12.972972972972974</v>
      </c>
    </row>
    <row r="35" spans="1:15">
      <c r="A35" s="2" t="s">
        <v>7</v>
      </c>
      <c r="B35" s="2">
        <v>523</v>
      </c>
      <c r="C35" s="2">
        <v>1694.7878330000001</v>
      </c>
      <c r="D35" s="2">
        <v>0.71916400000000003</v>
      </c>
      <c r="E35" s="2">
        <v>0.57999999999999996</v>
      </c>
      <c r="F35" s="2">
        <f t="shared" si="1"/>
        <v>51.47980945656392</v>
      </c>
      <c r="H35" s="2">
        <f t="shared" si="2"/>
        <v>45.215678106932032</v>
      </c>
      <c r="M35" s="3" t="s">
        <v>9</v>
      </c>
      <c r="N35" s="2">
        <v>12</v>
      </c>
      <c r="O35" s="2">
        <v>12.121212121212121</v>
      </c>
    </row>
    <row r="36" spans="1:15">
      <c r="A36" s="2" t="s">
        <v>5</v>
      </c>
      <c r="B36" s="2">
        <v>561</v>
      </c>
      <c r="C36" s="2">
        <v>1724.4592439999999</v>
      </c>
      <c r="D36" s="2">
        <v>0.71889199999999998</v>
      </c>
      <c r="E36" s="2">
        <v>0.56999999999999995</v>
      </c>
      <c r="F36" s="2">
        <f t="shared" si="1"/>
        <v>21.330539996611861</v>
      </c>
      <c r="H36" s="2">
        <f t="shared" si="2"/>
        <v>36.405174726587887</v>
      </c>
      <c r="M36" s="2" t="s">
        <v>8</v>
      </c>
      <c r="N36" s="2">
        <v>11</v>
      </c>
      <c r="O36" s="2">
        <v>10.480349344978166</v>
      </c>
    </row>
    <row r="37" spans="1:15">
      <c r="A37" s="2" t="s">
        <v>4</v>
      </c>
      <c r="B37" s="2">
        <v>587</v>
      </c>
      <c r="C37" s="2">
        <v>1767.5510880000002</v>
      </c>
      <c r="D37" s="2">
        <v>0.72688299999999995</v>
      </c>
      <c r="E37" s="2">
        <v>0.61</v>
      </c>
      <c r="F37" s="2">
        <f t="shared" si="1"/>
        <v>31.322728842252189</v>
      </c>
      <c r="H37" s="2">
        <f t="shared" si="2"/>
        <v>26.326634419432025</v>
      </c>
      <c r="M37" s="3" t="s">
        <v>10</v>
      </c>
      <c r="N37" s="2">
        <v>10</v>
      </c>
      <c r="O37" s="2">
        <v>8.2191780821917817</v>
      </c>
    </row>
    <row r="38" spans="1:15">
      <c r="A38" s="2" t="s">
        <v>3</v>
      </c>
      <c r="B38" s="2">
        <v>607</v>
      </c>
      <c r="C38" s="2">
        <v>1834.2919999999999</v>
      </c>
      <c r="D38" s="2">
        <v>0.72401199999999999</v>
      </c>
      <c r="E38" s="2">
        <v>0.61</v>
      </c>
      <c r="F38" s="2">
        <f t="shared" si="1"/>
        <v>48.321221178943823</v>
      </c>
      <c r="H38" s="2">
        <f t="shared" si="2"/>
        <v>39.82197501059801</v>
      </c>
      <c r="M38" s="3" t="s">
        <v>9</v>
      </c>
      <c r="N38" s="2">
        <v>8</v>
      </c>
      <c r="O38" s="2">
        <v>6.1538461538461542</v>
      </c>
    </row>
    <row r="39" spans="1:15">
      <c r="A39" s="2" t="s">
        <v>2</v>
      </c>
      <c r="B39" s="2">
        <v>620</v>
      </c>
      <c r="C39" s="2">
        <v>1950.9169999999999</v>
      </c>
      <c r="D39" s="2">
        <v>0.75241499999999994</v>
      </c>
      <c r="E39" s="2">
        <v>0.72</v>
      </c>
      <c r="F39" s="2">
        <f t="shared" si="1"/>
        <v>87.750399375000001</v>
      </c>
      <c r="H39" s="2">
        <f t="shared" si="2"/>
        <v>68.035810276971915</v>
      </c>
      <c r="M39" s="2" t="s">
        <v>25</v>
      </c>
      <c r="N39" s="2">
        <v>7</v>
      </c>
    </row>
    <row r="40" spans="1:15">
      <c r="A40" s="2" t="s">
        <v>1</v>
      </c>
      <c r="B40" s="2">
        <v>640</v>
      </c>
      <c r="C40" s="2">
        <v>2062.232</v>
      </c>
      <c r="D40" s="2">
        <v>0.75792999999999999</v>
      </c>
      <c r="E40" s="2">
        <v>0.71</v>
      </c>
      <c r="F40" s="2">
        <f t="shared" si="1"/>
        <v>84.368977950000044</v>
      </c>
      <c r="H40" s="2">
        <f t="shared" si="2"/>
        <v>86.059688662500022</v>
      </c>
      <c r="M40" s="3" t="s">
        <v>10</v>
      </c>
      <c r="N40" s="2">
        <v>6</v>
      </c>
      <c r="O40" s="2">
        <v>5.7553956834532372</v>
      </c>
    </row>
    <row r="41" spans="1:15">
      <c r="A41" s="2" t="s">
        <v>0</v>
      </c>
      <c r="B41" s="2">
        <v>653</v>
      </c>
      <c r="C41" s="2">
        <v>2172.5</v>
      </c>
      <c r="D41" s="2">
        <v>0.76353499999999996</v>
      </c>
      <c r="E41" s="2">
        <v>0.73</v>
      </c>
      <c r="F41" s="2">
        <f t="shared" si="1"/>
        <v>84.193477380000019</v>
      </c>
      <c r="H41" s="2">
        <f t="shared" si="2"/>
        <v>84.281227665000031</v>
      </c>
      <c r="M41" s="3" t="s">
        <v>9</v>
      </c>
      <c r="N41" s="2">
        <v>4</v>
      </c>
      <c r="O41" s="2">
        <v>3.7676609105180532</v>
      </c>
    </row>
    <row r="42" spans="1:15">
      <c r="A42" s="2" t="s">
        <v>18</v>
      </c>
      <c r="B42" s="2">
        <v>661</v>
      </c>
      <c r="C42" s="2">
        <v>2206.6010000000001</v>
      </c>
      <c r="D42" s="2">
        <v>0.74953000000000003</v>
      </c>
      <c r="E42" s="2">
        <v>0.72</v>
      </c>
      <c r="F42" s="2">
        <f t="shared" si="1"/>
        <v>25.559722530000087</v>
      </c>
      <c r="H42" s="2">
        <f t="shared" si="2"/>
        <v>54.876599955000053</v>
      </c>
      <c r="J42" s="2">
        <f>SUM(F31:F42)</f>
        <v>609.63566119905386</v>
      </c>
      <c r="M42" s="2" t="s">
        <v>24</v>
      </c>
      <c r="N42" s="2">
        <v>3.75</v>
      </c>
      <c r="O42" s="2">
        <v>2.6875699888017919</v>
      </c>
    </row>
    <row r="43" spans="1:15">
      <c r="A43" s="2">
        <f>A31+1</f>
        <v>1793</v>
      </c>
      <c r="B43" s="2">
        <v>682</v>
      </c>
      <c r="C43" s="2">
        <v>2387.46</v>
      </c>
      <c r="D43" s="2">
        <v>0.66120199999999996</v>
      </c>
      <c r="E43" s="2">
        <v>0.51</v>
      </c>
      <c r="F43" s="2">
        <f t="shared" si="1"/>
        <v>119.58433251799994</v>
      </c>
      <c r="H43" s="2">
        <f t="shared" si="2"/>
        <v>72.572027524000021</v>
      </c>
      <c r="M43" s="3" t="s">
        <v>10</v>
      </c>
      <c r="N43" s="2">
        <v>3.5</v>
      </c>
      <c r="O43" s="2">
        <v>3.0456852791878171</v>
      </c>
    </row>
    <row r="44" spans="1:15">
      <c r="A44" s="2" t="s">
        <v>15</v>
      </c>
      <c r="B44" s="2">
        <v>698</v>
      </c>
      <c r="C44" s="2">
        <v>2514.1970000000001</v>
      </c>
      <c r="D44" s="2">
        <v>0.64875099999999997</v>
      </c>
      <c r="E44" s="2">
        <v>0.52</v>
      </c>
      <c r="F44" s="2">
        <f t="shared" si="1"/>
        <v>82.220755487000048</v>
      </c>
      <c r="H44" s="2">
        <f t="shared" si="2"/>
        <v>100.90254400249999</v>
      </c>
      <c r="M44" s="3" t="s">
        <v>9</v>
      </c>
      <c r="N44" s="2">
        <v>3.75</v>
      </c>
      <c r="O44" s="2">
        <v>3.3333333333333335</v>
      </c>
    </row>
    <row r="45" spans="1:15">
      <c r="A45" s="2" t="s">
        <v>13</v>
      </c>
      <c r="B45" s="2">
        <v>715</v>
      </c>
      <c r="C45" s="2">
        <v>2700.1260000000002</v>
      </c>
      <c r="D45" s="2">
        <v>0.62930799999999998</v>
      </c>
      <c r="E45" s="2">
        <v>0.51</v>
      </c>
      <c r="F45" s="2">
        <f t="shared" si="1"/>
        <v>117.00660713200006</v>
      </c>
      <c r="H45" s="2">
        <f t="shared" si="2"/>
        <v>99.613681309500052</v>
      </c>
      <c r="M45" s="2" t="s">
        <v>23</v>
      </c>
      <c r="N45" s="2">
        <v>3.5</v>
      </c>
      <c r="O45" s="2">
        <v>3.1788079470198674</v>
      </c>
    </row>
    <row r="46" spans="1:15">
      <c r="A46" s="2" t="s">
        <v>11</v>
      </c>
      <c r="B46" s="2">
        <v>733</v>
      </c>
      <c r="C46" s="2">
        <v>2945.5149999999999</v>
      </c>
      <c r="D46" s="2">
        <v>0.57798000000000005</v>
      </c>
      <c r="E46" s="2">
        <v>0.43</v>
      </c>
      <c r="F46" s="2">
        <f t="shared" si="1"/>
        <v>141.82993421999981</v>
      </c>
      <c r="H46" s="2">
        <f t="shared" si="2"/>
        <v>129.41827067599993</v>
      </c>
      <c r="M46" s="3" t="s">
        <v>10</v>
      </c>
      <c r="N46" s="2">
        <v>3.25</v>
      </c>
      <c r="O46" s="2">
        <v>2.9161603888213854</v>
      </c>
    </row>
    <row r="47" spans="1:15">
      <c r="A47" s="2" t="s">
        <v>7</v>
      </c>
      <c r="B47" s="2">
        <v>756</v>
      </c>
      <c r="C47" s="2">
        <v>3184.0479999999998</v>
      </c>
      <c r="D47" s="2">
        <v>0.57386999999999999</v>
      </c>
      <c r="E47" s="2">
        <v>0.52</v>
      </c>
      <c r="F47" s="2">
        <f t="shared" si="1"/>
        <v>136.88693270999994</v>
      </c>
      <c r="H47" s="2">
        <f t="shared" si="2"/>
        <v>139.35843346499988</v>
      </c>
      <c r="M47" s="3" t="s">
        <v>9</v>
      </c>
      <c r="N47" s="2">
        <v>3</v>
      </c>
      <c r="O47" s="2">
        <v>2.9925187032418954</v>
      </c>
    </row>
    <row r="48" spans="1:15">
      <c r="A48" s="2" t="s">
        <v>5</v>
      </c>
      <c r="B48" s="2">
        <v>792</v>
      </c>
      <c r="C48" s="2">
        <v>3468.6120000000001</v>
      </c>
      <c r="D48" s="2">
        <v>0.49493599999999999</v>
      </c>
      <c r="E48" s="2">
        <v>0.36</v>
      </c>
      <c r="F48" s="2">
        <f t="shared" si="1"/>
        <v>140.84096790400014</v>
      </c>
      <c r="H48" s="2">
        <f t="shared" si="2"/>
        <v>138.86395030700004</v>
      </c>
      <c r="M48" s="2" t="s">
        <v>22</v>
      </c>
      <c r="N48" s="2">
        <v>2.75</v>
      </c>
      <c r="O48" s="2">
        <v>2.7180067950169877</v>
      </c>
    </row>
    <row r="49" spans="1:15">
      <c r="A49" s="2" t="s">
        <v>4</v>
      </c>
      <c r="B49" s="2">
        <v>821</v>
      </c>
      <c r="C49" s="2">
        <v>3642.4850000000001</v>
      </c>
      <c r="D49" s="2">
        <v>0.42933199999999999</v>
      </c>
      <c r="E49" s="2">
        <v>0.23</v>
      </c>
      <c r="F49" s="2">
        <f t="shared" si="1"/>
        <v>74.649242836000013</v>
      </c>
      <c r="H49" s="2">
        <f t="shared" si="2"/>
        <v>107.74510537000008</v>
      </c>
      <c r="M49" s="3" t="s">
        <v>10</v>
      </c>
      <c r="N49" s="2">
        <v>2.5</v>
      </c>
      <c r="O49" s="2">
        <v>2.2857142857142856</v>
      </c>
    </row>
    <row r="50" spans="1:15">
      <c r="A50" s="2" t="s">
        <v>3</v>
      </c>
      <c r="B50" s="2">
        <v>856</v>
      </c>
      <c r="C50" s="2">
        <v>3865.723</v>
      </c>
      <c r="D50" s="2">
        <v>0.40872199999999997</v>
      </c>
      <c r="E50" s="2">
        <v>0.22</v>
      </c>
      <c r="F50" s="2">
        <f t="shared" si="1"/>
        <v>91.242281835999918</v>
      </c>
      <c r="H50" s="2">
        <f t="shared" si="2"/>
        <v>82.945762335999973</v>
      </c>
      <c r="M50" s="3" t="s">
        <v>9</v>
      </c>
      <c r="N50" s="2">
        <v>2.25</v>
      </c>
      <c r="O50" s="2">
        <v>2.0797227036395149</v>
      </c>
    </row>
    <row r="51" spans="1:15">
      <c r="A51" s="2" t="s">
        <v>2</v>
      </c>
      <c r="B51" s="2">
        <v>884</v>
      </c>
      <c r="C51" s="2">
        <v>4242.9229999999998</v>
      </c>
      <c r="D51" s="2">
        <v>0.41639999999999999</v>
      </c>
      <c r="E51" s="2">
        <v>0.27</v>
      </c>
      <c r="F51" s="2">
        <f t="shared" ref="F51:F83" si="3">(C51-C50)*D51</f>
        <v>157.06607999999991</v>
      </c>
      <c r="H51" s="2">
        <f t="shared" si="2"/>
        <v>124.15418091799992</v>
      </c>
      <c r="M51" s="2" t="s">
        <v>26</v>
      </c>
      <c r="N51" s="2">
        <v>2.0625</v>
      </c>
      <c r="O51" s="2">
        <v>2</v>
      </c>
    </row>
    <row r="52" spans="1:15">
      <c r="A52" s="2" t="s">
        <v>1</v>
      </c>
      <c r="B52" s="2">
        <v>913</v>
      </c>
      <c r="C52" s="2">
        <v>4621.9009999999998</v>
      </c>
      <c r="D52" s="2">
        <v>0.43245</v>
      </c>
      <c r="E52" s="2">
        <v>0.28000000000000003</v>
      </c>
      <c r="F52" s="2">
        <f t="shared" si="3"/>
        <v>163.88903610000003</v>
      </c>
      <c r="H52" s="2">
        <f t="shared" ref="H52:H83" si="4">AVERAGEA(F51:F52)</f>
        <v>160.47755804999997</v>
      </c>
      <c r="M52" s="3" t="s">
        <v>10</v>
      </c>
      <c r="N52" s="2">
        <v>1.9624999999999999</v>
      </c>
      <c r="O52" s="2">
        <v>1.935483870967742</v>
      </c>
    </row>
    <row r="53" spans="1:15">
      <c r="A53" s="2" t="s">
        <v>0</v>
      </c>
      <c r="B53" s="2">
        <v>956</v>
      </c>
      <c r="C53" s="2">
        <v>4769.5680000000002</v>
      </c>
      <c r="D53" s="2">
        <v>0.48763099999999998</v>
      </c>
      <c r="E53" s="2">
        <v>0.33</v>
      </c>
      <c r="F53" s="2">
        <f t="shared" si="3"/>
        <v>72.00700687700018</v>
      </c>
      <c r="H53" s="2">
        <f t="shared" si="4"/>
        <v>117.9480214885001</v>
      </c>
      <c r="M53" s="3" t="s">
        <v>9</v>
      </c>
      <c r="N53" s="2">
        <v>1.5333330000000001</v>
      </c>
      <c r="O53" s="2">
        <v>1.7391304347826086</v>
      </c>
    </row>
    <row r="54" spans="1:15">
      <c r="A54" s="2" t="s">
        <v>18</v>
      </c>
      <c r="B54" s="2">
        <v>986</v>
      </c>
      <c r="C54" s="2">
        <v>5010.7910000000002</v>
      </c>
      <c r="D54" s="2">
        <v>0.55383199999999999</v>
      </c>
      <c r="E54" s="2">
        <v>0.48</v>
      </c>
      <c r="F54" s="2">
        <f t="shared" si="3"/>
        <v>133.59701653599998</v>
      </c>
      <c r="H54" s="2">
        <f t="shared" si="4"/>
        <v>102.80201170650008</v>
      </c>
      <c r="J54" s="2">
        <f>SUM(F43:F54)</f>
        <v>1430.8201941559998</v>
      </c>
      <c r="M54" s="2" t="s">
        <v>20</v>
      </c>
      <c r="N54" s="2">
        <v>1.1125</v>
      </c>
      <c r="O54" s="2">
        <v>1.42433234421365</v>
      </c>
    </row>
    <row r="55" spans="1:15">
      <c r="A55" s="2">
        <f>A43+1</f>
        <v>1794</v>
      </c>
      <c r="B55" s="2">
        <v>1047</v>
      </c>
      <c r="C55" s="2">
        <v>5230.0559999999996</v>
      </c>
      <c r="D55" s="2">
        <v>0.50407599999999997</v>
      </c>
      <c r="E55" s="2">
        <v>0.4</v>
      </c>
      <c r="F55" s="2">
        <f t="shared" si="3"/>
        <v>110.5262241399997</v>
      </c>
      <c r="H55" s="2">
        <f t="shared" si="4"/>
        <v>122.06162033799984</v>
      </c>
      <c r="M55" s="3" t="s">
        <v>10</v>
      </c>
      <c r="N55" s="2">
        <v>0.82499999999999996</v>
      </c>
      <c r="O55" s="2">
        <v>0.92735703245749612</v>
      </c>
    </row>
    <row r="56" spans="1:15">
      <c r="A56" s="2" t="s">
        <v>15</v>
      </c>
      <c r="B56" s="2">
        <v>1064</v>
      </c>
      <c r="C56" s="2">
        <v>5403.6469999999999</v>
      </c>
      <c r="D56" s="2">
        <v>0.49587500000000001</v>
      </c>
      <c r="E56" s="2">
        <v>0.41</v>
      </c>
      <c r="F56" s="2">
        <f t="shared" si="3"/>
        <v>86.079437125000169</v>
      </c>
      <c r="H56" s="2">
        <f t="shared" si="4"/>
        <v>98.302830632499933</v>
      </c>
      <c r="M56" s="3" t="s">
        <v>9</v>
      </c>
      <c r="N56" s="2">
        <v>0.77500000000000002</v>
      </c>
      <c r="O56" s="2">
        <v>0.74719800747198006</v>
      </c>
    </row>
    <row r="57" spans="1:15">
      <c r="A57" s="2" t="s">
        <v>13</v>
      </c>
      <c r="B57" s="2">
        <v>1099</v>
      </c>
      <c r="C57" s="2">
        <v>5514.4960000000001</v>
      </c>
      <c r="D57" s="2">
        <v>0.461312</v>
      </c>
      <c r="E57" s="2">
        <v>0.36</v>
      </c>
      <c r="F57" s="2">
        <f t="shared" si="3"/>
        <v>51.135973888000073</v>
      </c>
      <c r="H57" s="2">
        <f t="shared" si="4"/>
        <v>68.607705506500125</v>
      </c>
      <c r="M57" s="2" t="s">
        <v>19</v>
      </c>
      <c r="N57" s="2">
        <v>0.72499999999999998</v>
      </c>
      <c r="O57" s="2">
        <v>0.70567480152896211</v>
      </c>
    </row>
    <row r="58" spans="1:15">
      <c r="A58" s="2" t="s">
        <v>11</v>
      </c>
      <c r="B58" s="2">
        <v>1128.114</v>
      </c>
      <c r="C58" s="2">
        <v>5705.6289999999999</v>
      </c>
      <c r="D58" s="2">
        <v>0.44889200000000001</v>
      </c>
      <c r="E58" s="2">
        <v>0.36</v>
      </c>
      <c r="F58" s="2">
        <f t="shared" si="3"/>
        <v>85.798074635999924</v>
      </c>
      <c r="H58" s="2">
        <f t="shared" si="4"/>
        <v>68.467024261999995</v>
      </c>
      <c r="M58" s="3" t="s">
        <v>10</v>
      </c>
      <c r="N58" s="2">
        <v>0.625</v>
      </c>
      <c r="O58" s="2">
        <v>0.67132867132867136</v>
      </c>
    </row>
    <row r="59" spans="1:15">
      <c r="A59" s="2" t="s">
        <v>7</v>
      </c>
      <c r="B59" s="2">
        <v>1181.5530000000001</v>
      </c>
      <c r="C59" s="2">
        <v>5905.7686809999996</v>
      </c>
      <c r="D59" s="2">
        <v>0.42982399999999998</v>
      </c>
      <c r="E59" s="2">
        <v>0.34</v>
      </c>
      <c r="F59" s="2">
        <f t="shared" si="3"/>
        <v>86.024838246143844</v>
      </c>
      <c r="H59" s="2">
        <f t="shared" si="4"/>
        <v>85.911456441071891</v>
      </c>
      <c r="M59" s="3" t="s">
        <v>9</v>
      </c>
      <c r="N59" s="2">
        <v>0.5625</v>
      </c>
      <c r="O59" s="2">
        <v>0.72948328267477203</v>
      </c>
    </row>
    <row r="60" spans="1:15">
      <c r="A60" s="2" t="s">
        <v>5</v>
      </c>
      <c r="B60" s="2">
        <v>1257.5</v>
      </c>
      <c r="C60" s="2">
        <v>6054.2978009999997</v>
      </c>
      <c r="D60" s="2">
        <v>0.40333200000000002</v>
      </c>
      <c r="E60" s="2">
        <v>0.3</v>
      </c>
      <c r="F60" s="2">
        <f t="shared" si="3"/>
        <v>59.906547027840062</v>
      </c>
      <c r="G60" s="2">
        <v>51.225319999999847</v>
      </c>
      <c r="H60" s="2">
        <f t="shared" si="4"/>
        <v>72.965692636991946</v>
      </c>
      <c r="I60" s="2">
        <f>G60</f>
        <v>51.225319999999847</v>
      </c>
      <c r="M60" s="2" t="s">
        <v>17</v>
      </c>
      <c r="N60" s="2">
        <v>0.47499999999999998</v>
      </c>
      <c r="O60" s="2">
        <v>0.43755697356426621</v>
      </c>
    </row>
    <row r="61" spans="1:15">
      <c r="A61" s="2" t="s">
        <v>4</v>
      </c>
      <c r="B61" s="2">
        <v>1332.5</v>
      </c>
      <c r="C61" s="2">
        <v>6217.4556350000003</v>
      </c>
      <c r="D61" s="2">
        <v>0.41594199999999998</v>
      </c>
      <c r="E61" s="2">
        <v>0.34</v>
      </c>
      <c r="F61" s="2">
        <f t="shared" si="3"/>
        <v>67.864195789628226</v>
      </c>
      <c r="G61" s="2">
        <v>55.473720000000128</v>
      </c>
      <c r="H61" s="2">
        <f t="shared" si="4"/>
        <v>63.885371408734144</v>
      </c>
      <c r="I61" s="2">
        <f t="shared" ref="I61:I83" si="5">AVERAGEA(G60:G61)</f>
        <v>53.349519999999984</v>
      </c>
      <c r="M61" s="3" t="s">
        <v>10</v>
      </c>
      <c r="N61" s="2">
        <v>0.4375</v>
      </c>
      <c r="O61" s="2">
        <v>0.51524259338772005</v>
      </c>
    </row>
    <row r="62" spans="1:15">
      <c r="A62" s="2" t="s">
        <v>3</v>
      </c>
      <c r="B62" s="2">
        <v>1394.5</v>
      </c>
      <c r="C62" s="2">
        <v>6397.4857000000002</v>
      </c>
      <c r="D62" s="2">
        <v>0.393513</v>
      </c>
      <c r="E62" s="2">
        <v>0.31</v>
      </c>
      <c r="F62" s="2">
        <f t="shared" si="3"/>
        <v>70.844170968344969</v>
      </c>
      <c r="G62" s="2">
        <v>59.435239999999922</v>
      </c>
      <c r="H62" s="2">
        <f t="shared" si="4"/>
        <v>69.35418337898659</v>
      </c>
      <c r="I62" s="2">
        <f t="shared" si="5"/>
        <v>57.454480000000025</v>
      </c>
      <c r="M62" s="3" t="s">
        <v>9</v>
      </c>
      <c r="N62" s="2">
        <v>0.46250000000000002</v>
      </c>
      <c r="O62" s="2">
        <v>0.43173232595790612</v>
      </c>
    </row>
    <row r="63" spans="1:15">
      <c r="A63" s="2" t="s">
        <v>2</v>
      </c>
      <c r="B63" s="2">
        <v>1450.5</v>
      </c>
      <c r="C63" s="2">
        <v>6573.3643599999996</v>
      </c>
      <c r="D63" s="2">
        <v>0.36680699999999999</v>
      </c>
      <c r="E63" s="2">
        <v>0.28000000000000003</v>
      </c>
      <c r="F63" s="2">
        <f t="shared" si="3"/>
        <v>64.513523638619773</v>
      </c>
      <c r="G63" s="2">
        <v>54.522179999999906</v>
      </c>
      <c r="H63" s="2">
        <f t="shared" si="4"/>
        <v>67.678847303482371</v>
      </c>
      <c r="I63" s="2">
        <f t="shared" si="5"/>
        <v>56.978709999999914</v>
      </c>
      <c r="M63" s="2" t="s">
        <v>16</v>
      </c>
      <c r="N63" s="2">
        <v>0.45</v>
      </c>
      <c r="O63" s="2">
        <v>0.43438914027149322</v>
      </c>
    </row>
    <row r="64" spans="1:15">
      <c r="A64" s="2" t="s">
        <v>1</v>
      </c>
      <c r="B64" s="2">
        <v>1517.2360000000001</v>
      </c>
      <c r="C64" s="2">
        <v>6721.2518739999996</v>
      </c>
      <c r="D64" s="2">
        <v>0.35040399999999999</v>
      </c>
      <c r="E64" s="2">
        <v>0.28000000000000003</v>
      </c>
      <c r="F64" s="2">
        <f t="shared" si="3"/>
        <v>51.820376455656003</v>
      </c>
      <c r="G64" s="2">
        <v>41.857970000000229</v>
      </c>
      <c r="H64" s="2">
        <f t="shared" si="4"/>
        <v>58.166950047137888</v>
      </c>
      <c r="I64" s="2">
        <f t="shared" si="5"/>
        <v>48.190075000000064</v>
      </c>
      <c r="M64" s="3" t="s">
        <v>10</v>
      </c>
      <c r="N64" s="2">
        <v>0.4375</v>
      </c>
      <c r="O64" s="2">
        <v>0.45775319473583825</v>
      </c>
    </row>
    <row r="65" spans="1:15">
      <c r="A65" s="2" t="s">
        <v>0</v>
      </c>
      <c r="B65" s="2">
        <v>1537</v>
      </c>
      <c r="C65" s="2">
        <v>6962.9857540000003</v>
      </c>
      <c r="D65" s="2">
        <v>0.31905</v>
      </c>
      <c r="E65" s="2">
        <v>0.24</v>
      </c>
      <c r="F65" s="2">
        <f t="shared" si="3"/>
        <v>77.125194414000219</v>
      </c>
      <c r="G65" s="2">
        <v>62.99450999999987</v>
      </c>
      <c r="H65" s="2">
        <f t="shared" si="4"/>
        <v>64.472785434828111</v>
      </c>
      <c r="I65" s="2">
        <f t="shared" si="5"/>
        <v>52.42624000000005</v>
      </c>
      <c r="M65" s="3" t="s">
        <v>9</v>
      </c>
      <c r="N65" s="2">
        <v>0.375</v>
      </c>
      <c r="O65" s="2">
        <v>0.39222095113580652</v>
      </c>
    </row>
    <row r="66" spans="1:15">
      <c r="A66" s="2" t="s">
        <v>18</v>
      </c>
      <c r="B66" s="2">
        <v>1574</v>
      </c>
      <c r="C66" s="2">
        <v>7154.619256</v>
      </c>
      <c r="D66" s="2">
        <v>0.28567700000000001</v>
      </c>
      <c r="E66" s="2">
        <v>0.2</v>
      </c>
      <c r="F66" s="2">
        <f t="shared" si="3"/>
        <v>54.74528395085391</v>
      </c>
      <c r="G66" s="2">
        <v>44.208479999999966</v>
      </c>
      <c r="H66" s="2">
        <f t="shared" si="4"/>
        <v>65.935239182427068</v>
      </c>
      <c r="I66" s="2">
        <f t="shared" si="5"/>
        <v>53.601494999999915</v>
      </c>
      <c r="J66" s="2">
        <f>SUM(F55:F59)+SUM(G60:G66)</f>
        <v>789.28196803514356</v>
      </c>
      <c r="M66" s="2" t="s">
        <v>14</v>
      </c>
      <c r="N66" s="2">
        <v>0.32500000000000001</v>
      </c>
      <c r="O66" s="2">
        <v>0.34231921266581089</v>
      </c>
    </row>
    <row r="67" spans="1:15">
      <c r="A67" s="2">
        <f>A55+1</f>
        <v>1795</v>
      </c>
      <c r="B67" s="2">
        <v>1607</v>
      </c>
      <c r="C67" s="2">
        <v>7349.8535119999997</v>
      </c>
      <c r="D67" s="2">
        <v>0.24984999999999999</v>
      </c>
      <c r="E67" s="2">
        <v>0.18</v>
      </c>
      <c r="F67" s="2">
        <f t="shared" si="3"/>
        <v>48.779278861599934</v>
      </c>
      <c r="G67" s="2">
        <v>39.183250000000129</v>
      </c>
      <c r="H67" s="2">
        <f t="shared" si="4"/>
        <v>51.762281406226919</v>
      </c>
      <c r="I67" s="2">
        <f t="shared" si="5"/>
        <v>41.695865000000047</v>
      </c>
      <c r="M67" s="3" t="s">
        <v>10</v>
      </c>
      <c r="N67" s="2">
        <v>0.38750000000000001</v>
      </c>
    </row>
    <row r="68" spans="1:15">
      <c r="A68" s="2" t="s">
        <v>15</v>
      </c>
      <c r="B68" s="2">
        <v>1607</v>
      </c>
      <c r="C68" s="2">
        <v>7702.8482649999996</v>
      </c>
      <c r="D68" s="2">
        <v>0.222277</v>
      </c>
      <c r="E68" s="2">
        <v>0.17</v>
      </c>
      <c r="F68" s="2">
        <f t="shared" si="3"/>
        <v>78.462614712580987</v>
      </c>
      <c r="G68" s="2">
        <v>63.662459999999946</v>
      </c>
      <c r="H68" s="2">
        <f t="shared" si="4"/>
        <v>63.62094678709046</v>
      </c>
      <c r="I68" s="2">
        <f t="shared" si="5"/>
        <v>51.422855000000041</v>
      </c>
      <c r="M68" s="3" t="s">
        <v>9</v>
      </c>
      <c r="N68" s="2">
        <v>0.38750000000000001</v>
      </c>
    </row>
    <row r="69" spans="1:15">
      <c r="A69" s="2" t="s">
        <v>13</v>
      </c>
      <c r="B69" s="2">
        <v>1610.5229999999999</v>
      </c>
      <c r="C69" s="2">
        <v>8148.652</v>
      </c>
      <c r="D69" s="2">
        <v>0.18820700000000001</v>
      </c>
      <c r="E69" s="2">
        <v>0.14000000000000001</v>
      </c>
      <c r="F69" s="2">
        <f t="shared" si="3"/>
        <v>83.90338355314509</v>
      </c>
      <c r="G69" s="2">
        <v>70.964350000000039</v>
      </c>
      <c r="H69" s="2">
        <f t="shared" si="4"/>
        <v>81.182999132863046</v>
      </c>
      <c r="I69" s="2">
        <f t="shared" si="5"/>
        <v>67.313404999999989</v>
      </c>
      <c r="M69" s="2" t="s">
        <v>12</v>
      </c>
      <c r="N69" s="2">
        <v>0.4</v>
      </c>
    </row>
    <row r="70" spans="1:15">
      <c r="A70" s="2" t="s">
        <v>11</v>
      </c>
      <c r="B70" s="2">
        <v>1635.5</v>
      </c>
      <c r="C70" s="2">
        <v>8903.5079999999998</v>
      </c>
      <c r="D70" s="2">
        <v>0.143404</v>
      </c>
      <c r="E70" s="2">
        <v>0.1100917</v>
      </c>
      <c r="F70" s="2">
        <f t="shared" si="3"/>
        <v>108.24936982399997</v>
      </c>
      <c r="G70" s="2">
        <v>89.052779999999956</v>
      </c>
      <c r="H70" s="2">
        <f t="shared" si="4"/>
        <v>96.076376688572537</v>
      </c>
      <c r="I70" s="2">
        <f t="shared" si="5"/>
        <v>80.008565000000004</v>
      </c>
    </row>
    <row r="71" spans="1:15">
      <c r="A71" s="2" t="s">
        <v>7</v>
      </c>
      <c r="B71" s="2">
        <v>1680.5</v>
      </c>
      <c r="C71" s="2">
        <v>10055.35</v>
      </c>
      <c r="D71" s="2">
        <v>9.0285000000000004E-2</v>
      </c>
      <c r="E71" s="2">
        <v>6.0150380000000003E-2</v>
      </c>
      <c r="F71" s="2">
        <f t="shared" si="3"/>
        <v>103.99405497000005</v>
      </c>
      <c r="G71" s="2">
        <v>96.558500000000038</v>
      </c>
      <c r="H71" s="2">
        <f t="shared" si="4"/>
        <v>106.12171239700001</v>
      </c>
      <c r="I71" s="2">
        <f t="shared" si="5"/>
        <v>92.805639999999997</v>
      </c>
    </row>
    <row r="72" spans="1:15">
      <c r="A72" s="2" t="s">
        <v>5</v>
      </c>
      <c r="B72" s="2">
        <v>1735.5</v>
      </c>
      <c r="C72" s="2">
        <v>11374.46</v>
      </c>
      <c r="D72" s="2">
        <v>5.4204000000000002E-2</v>
      </c>
      <c r="E72" s="2">
        <v>2.9593100000000001E-2</v>
      </c>
      <c r="F72" s="2">
        <f t="shared" si="3"/>
        <v>71.501038439999931</v>
      </c>
      <c r="G72" s="2">
        <v>58.581000000000003</v>
      </c>
      <c r="H72" s="2">
        <f t="shared" si="4"/>
        <v>87.747546704999991</v>
      </c>
      <c r="I72" s="2">
        <f t="shared" si="5"/>
        <v>77.569750000000028</v>
      </c>
    </row>
    <row r="73" spans="1:15">
      <c r="A73" s="2" t="s">
        <v>4</v>
      </c>
      <c r="B73" s="2">
        <v>1809.5</v>
      </c>
      <c r="C73" s="2">
        <v>13822.63</v>
      </c>
      <c r="D73" s="2">
        <v>4.5725000000000002E-2</v>
      </c>
      <c r="E73" s="2">
        <v>3.1496059999999999E-2</v>
      </c>
      <c r="F73" s="2">
        <f t="shared" si="3"/>
        <v>111.94257325000001</v>
      </c>
      <c r="G73" s="2">
        <v>87.436575000000005</v>
      </c>
      <c r="H73" s="2">
        <f t="shared" si="4"/>
        <v>91.721805844999977</v>
      </c>
      <c r="I73" s="2">
        <f t="shared" si="5"/>
        <v>73.008787500000011</v>
      </c>
    </row>
    <row r="74" spans="1:15">
      <c r="A74" s="2" t="s">
        <v>3</v>
      </c>
      <c r="B74" s="2">
        <v>1943.5</v>
      </c>
      <c r="C74" s="2">
        <v>15469.63</v>
      </c>
      <c r="D74" s="2">
        <v>3.7850000000000002E-2</v>
      </c>
      <c r="E74" s="2">
        <v>2.8235300000000001E-2</v>
      </c>
      <c r="F74" s="2">
        <f t="shared" si="3"/>
        <v>62.338950000000004</v>
      </c>
      <c r="G74" s="2">
        <v>50.140875000000008</v>
      </c>
      <c r="H74" s="2">
        <f t="shared" si="4"/>
        <v>87.14076162500001</v>
      </c>
      <c r="I74" s="2">
        <f t="shared" si="5"/>
        <v>68.788724999999999</v>
      </c>
    </row>
    <row r="75" spans="1:15">
      <c r="A75" s="2" t="s">
        <v>2</v>
      </c>
      <c r="B75" s="2">
        <v>2052.5</v>
      </c>
      <c r="C75" s="2">
        <v>17271.14</v>
      </c>
      <c r="D75" s="2">
        <v>2.9104999999999999E-2</v>
      </c>
      <c r="E75" s="2">
        <v>2.099738E-2</v>
      </c>
      <c r="F75" s="2">
        <f t="shared" si="3"/>
        <v>52.432948550000006</v>
      </c>
      <c r="G75" s="2">
        <v>40.85064375000001</v>
      </c>
      <c r="H75" s="2">
        <f t="shared" si="4"/>
        <v>57.385949275000002</v>
      </c>
      <c r="I75" s="2">
        <f t="shared" si="5"/>
        <v>45.495759375000006</v>
      </c>
    </row>
    <row r="76" spans="1:15">
      <c r="A76" s="2" t="s">
        <v>1</v>
      </c>
      <c r="B76" s="2">
        <v>2274.5</v>
      </c>
      <c r="C76" s="2">
        <v>19462.169999999998</v>
      </c>
      <c r="D76" s="2">
        <v>2.1045999999999999E-2</v>
      </c>
      <c r="E76" s="2">
        <v>1.437126E-2</v>
      </c>
      <c r="F76" s="2">
        <f t="shared" si="3"/>
        <v>46.112417379999975</v>
      </c>
      <c r="G76" s="2">
        <v>32.560471778099995</v>
      </c>
      <c r="H76" s="2">
        <f t="shared" si="4"/>
        <v>49.272682964999987</v>
      </c>
      <c r="I76" s="2">
        <f t="shared" si="5"/>
        <v>36.705557764049999</v>
      </c>
    </row>
    <row r="77" spans="1:15">
      <c r="A77" s="2" t="s">
        <v>0</v>
      </c>
      <c r="B77" s="2">
        <v>2487.5</v>
      </c>
      <c r="C77" s="2">
        <v>22356.13</v>
      </c>
      <c r="D77" s="2">
        <v>1.2354E-2</v>
      </c>
      <c r="E77" s="2">
        <v>7.2617250000000001E-3</v>
      </c>
      <c r="F77" s="2">
        <f t="shared" si="3"/>
        <v>35.751981840000035</v>
      </c>
      <c r="G77" s="2">
        <v>22.492860000000022</v>
      </c>
      <c r="H77" s="2">
        <f t="shared" si="4"/>
        <v>40.932199610000005</v>
      </c>
      <c r="I77" s="2">
        <f t="shared" si="5"/>
        <v>27.526665889050008</v>
      </c>
    </row>
    <row r="78" spans="1:15">
      <c r="A78" s="2" t="s">
        <v>18</v>
      </c>
      <c r="B78" s="2">
        <v>2765.5</v>
      </c>
      <c r="C78" s="2">
        <v>25457.86</v>
      </c>
      <c r="D78" s="2">
        <v>7.8890000000000002E-3</v>
      </c>
      <c r="E78" s="2">
        <v>4.8241209999999998E-3</v>
      </c>
      <c r="F78" s="2">
        <f t="shared" si="3"/>
        <v>24.469547969999997</v>
      </c>
      <c r="G78" s="2">
        <v>17.109657717999994</v>
      </c>
      <c r="H78" s="2">
        <f t="shared" si="4"/>
        <v>30.110764905000018</v>
      </c>
      <c r="I78" s="2">
        <f t="shared" si="5"/>
        <v>19.801258859000008</v>
      </c>
      <c r="J78" s="2">
        <f>SUM(I67:I78)</f>
        <v>682.14283438710015</v>
      </c>
    </row>
    <row r="79" spans="1:15">
      <c r="A79" s="2">
        <f>A67+1</f>
        <v>1796</v>
      </c>
      <c r="B79" s="2">
        <v>3109.5</v>
      </c>
      <c r="C79" s="2">
        <v>34660.69</v>
      </c>
      <c r="D79" s="2">
        <v>6.5970000000000004E-3</v>
      </c>
      <c r="E79" s="2">
        <v>4.5112779999999996E-3</v>
      </c>
      <c r="F79" s="2">
        <f t="shared" si="3"/>
        <v>60.711069510000016</v>
      </c>
      <c r="G79" s="2">
        <v>41.095050121250011</v>
      </c>
      <c r="H79" s="2">
        <f t="shared" si="4"/>
        <v>42.590308740000005</v>
      </c>
      <c r="I79" s="2">
        <f t="shared" si="5"/>
        <v>29.102353919625003</v>
      </c>
    </row>
    <row r="80" spans="1:15">
      <c r="A80" s="2" t="s">
        <v>15</v>
      </c>
      <c r="B80" s="2">
        <v>4406.5</v>
      </c>
      <c r="C80" s="2">
        <v>35802.78</v>
      </c>
      <c r="D80" s="2">
        <v>5.0169999999999998E-3</v>
      </c>
      <c r="E80" s="2">
        <v>2.8402369999999998E-3</v>
      </c>
      <c r="F80" s="2">
        <f t="shared" si="3"/>
        <v>5.7298655299999819</v>
      </c>
      <c r="G80" s="2">
        <v>4.6878724999999859</v>
      </c>
      <c r="H80" s="2">
        <f t="shared" si="4"/>
        <v>33.22046752</v>
      </c>
      <c r="I80" s="2">
        <f t="shared" si="5"/>
        <v>22.891461310624997</v>
      </c>
    </row>
    <row r="81" spans="1:9">
      <c r="A81" s="2" t="s">
        <v>13</v>
      </c>
      <c r="B81" s="2">
        <v>4653.5</v>
      </c>
      <c r="C81" s="2">
        <v>37278.61</v>
      </c>
      <c r="D81" s="2">
        <v>4.5900000000000003E-3</v>
      </c>
      <c r="E81" s="2">
        <v>3.9337809999999999E-3</v>
      </c>
      <c r="F81" s="2">
        <f t="shared" si="3"/>
        <v>6.7740597000000085</v>
      </c>
      <c r="G81" s="2">
        <v>5.7755444921249994</v>
      </c>
      <c r="H81" s="2">
        <f t="shared" si="4"/>
        <v>6.2519626149999947</v>
      </c>
      <c r="I81" s="2">
        <f t="shared" si="5"/>
        <v>5.2317084960624927</v>
      </c>
    </row>
    <row r="82" spans="1:9">
      <c r="A82" s="2" t="s">
        <v>11</v>
      </c>
      <c r="B82" s="2">
        <v>5430.5</v>
      </c>
      <c r="C82" s="2">
        <v>36758.03</v>
      </c>
      <c r="E82" s="2">
        <v>4.03361E-3</v>
      </c>
      <c r="F82" s="2">
        <f t="shared" si="3"/>
        <v>0</v>
      </c>
      <c r="G82" s="2">
        <v>0</v>
      </c>
      <c r="H82" s="2">
        <f t="shared" si="4"/>
        <v>3.3870298500000042</v>
      </c>
      <c r="I82" s="2">
        <f t="shared" si="5"/>
        <v>2.8877722460624997</v>
      </c>
    </row>
    <row r="83" spans="1:9">
      <c r="A83" s="2" t="s">
        <v>7</v>
      </c>
      <c r="C83" s="2">
        <v>35800.49</v>
      </c>
      <c r="E83" s="2">
        <v>2.7907000000000001E-3</v>
      </c>
      <c r="F83" s="2">
        <f t="shared" si="3"/>
        <v>0</v>
      </c>
      <c r="G83" s="2">
        <v>0</v>
      </c>
      <c r="H83" s="2">
        <f t="shared" si="4"/>
        <v>0</v>
      </c>
      <c r="I83" s="2">
        <f t="shared" si="5"/>
        <v>0</v>
      </c>
    </row>
    <row r="84" spans="1:9">
      <c r="A84" s="2" t="s">
        <v>5</v>
      </c>
      <c r="C84" s="2">
        <v>34682.42</v>
      </c>
      <c r="E84" s="2">
        <v>1.3833000000000001E-3</v>
      </c>
    </row>
    <row r="85" spans="1:9">
      <c r="A85" s="2" t="s">
        <v>4</v>
      </c>
      <c r="C85" s="2">
        <v>33555.589999999997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51"/>
  <sheetViews>
    <sheetView tabSelected="1" topLeftCell="A233" workbookViewId="0">
      <selection activeCell="A263" sqref="A263"/>
    </sheetView>
  </sheetViews>
  <sheetFormatPr defaultRowHeight="12.75"/>
  <cols>
    <col min="1" max="14" width="9.140625" style="7"/>
    <col min="15" max="16384" width="9.140625" style="1"/>
  </cols>
  <sheetData>
    <row r="1" spans="1:14">
      <c r="A1" s="7" t="s">
        <v>333</v>
      </c>
      <c r="M1" s="7" t="s">
        <v>332</v>
      </c>
    </row>
    <row r="2" spans="1:14">
      <c r="A2" s="7" t="s">
        <v>331</v>
      </c>
    </row>
    <row r="3" spans="1:14">
      <c r="A3" s="7" t="s">
        <v>330</v>
      </c>
      <c r="L3" s="7" t="s">
        <v>129</v>
      </c>
    </row>
    <row r="4" spans="1:14">
      <c r="A4" s="7" t="s">
        <v>329</v>
      </c>
      <c r="M4" s="7">
        <v>1</v>
      </c>
      <c r="N4" s="7" t="s">
        <v>334</v>
      </c>
    </row>
    <row r="5" spans="1:14">
      <c r="M5" s="7">
        <v>2</v>
      </c>
      <c r="N5" s="7">
        <v>7.75</v>
      </c>
    </row>
    <row r="6" spans="1:14">
      <c r="A6" s="7" t="s">
        <v>45</v>
      </c>
      <c r="B6" s="7" t="s">
        <v>328</v>
      </c>
      <c r="C6" s="7" t="s">
        <v>327</v>
      </c>
      <c r="D6" s="7" t="s">
        <v>326</v>
      </c>
      <c r="E6" s="7" t="s">
        <v>325</v>
      </c>
      <c r="F6" s="7" t="s">
        <v>324</v>
      </c>
      <c r="H6" s="7" t="s">
        <v>323</v>
      </c>
      <c r="M6" s="7">
        <v>3</v>
      </c>
      <c r="N6" s="7">
        <v>7.5</v>
      </c>
    </row>
    <row r="7" spans="1:14">
      <c r="I7" s="7" t="s">
        <v>322</v>
      </c>
      <c r="M7" s="7">
        <v>4</v>
      </c>
      <c r="N7" s="7">
        <v>7.25</v>
      </c>
    </row>
    <row r="8" spans="1:14">
      <c r="A8" s="7">
        <v>1795</v>
      </c>
      <c r="M8" s="7">
        <v>5</v>
      </c>
      <c r="N8" s="7">
        <v>7.13</v>
      </c>
    </row>
    <row r="9" spans="1:14">
      <c r="M9" s="7">
        <v>6</v>
      </c>
      <c r="N9" s="7">
        <v>7.1</v>
      </c>
    </row>
    <row r="10" spans="1:14">
      <c r="B10" s="7">
        <v>128</v>
      </c>
      <c r="H10" s="8">
        <v>3.2214765100671139</v>
      </c>
      <c r="I10" s="7">
        <v>4.1234899328859056</v>
      </c>
      <c r="M10" s="7">
        <v>7</v>
      </c>
      <c r="N10" s="7">
        <v>7.38</v>
      </c>
    </row>
    <row r="11" spans="1:14">
      <c r="A11" s="7">
        <v>7</v>
      </c>
      <c r="B11" s="7">
        <v>130</v>
      </c>
      <c r="H11" s="8">
        <v>3.2653061224489797</v>
      </c>
      <c r="I11" s="7">
        <v>4.2448979591836737</v>
      </c>
      <c r="M11" s="7">
        <v>8</v>
      </c>
      <c r="N11" s="7">
        <v>7.4</v>
      </c>
    </row>
    <row r="12" spans="1:14">
      <c r="B12" s="7">
        <v>120</v>
      </c>
      <c r="H12" s="8">
        <v>3.096774193548387</v>
      </c>
      <c r="I12" s="7">
        <v>3.7161290322580642</v>
      </c>
      <c r="M12" s="7">
        <v>9</v>
      </c>
      <c r="N12" s="7">
        <v>7.5</v>
      </c>
    </row>
    <row r="13" spans="1:14">
      <c r="B13" s="7">
        <v>129</v>
      </c>
      <c r="H13" s="8">
        <v>3.1372549019607843</v>
      </c>
      <c r="I13" s="7">
        <v>4.0470588235294116</v>
      </c>
      <c r="M13" s="7">
        <v>10</v>
      </c>
    </row>
    <row r="14" spans="1:14">
      <c r="A14" s="7">
        <v>8</v>
      </c>
      <c r="B14" s="7">
        <v>129</v>
      </c>
      <c r="H14" s="8">
        <v>2.8846153846153846</v>
      </c>
      <c r="I14" s="7">
        <v>3.7211538461538463</v>
      </c>
      <c r="M14" s="7">
        <v>11</v>
      </c>
      <c r="N14" s="7">
        <v>7.5</v>
      </c>
    </row>
    <row r="15" spans="1:14">
      <c r="B15" s="7">
        <v>130.5</v>
      </c>
      <c r="H15" s="8">
        <v>2.6519337016574585</v>
      </c>
      <c r="I15" s="7">
        <v>3.4607734806629833</v>
      </c>
      <c r="M15" s="7">
        <v>12</v>
      </c>
      <c r="N15" s="7">
        <v>7.25</v>
      </c>
    </row>
    <row r="16" spans="1:14">
      <c r="B16" s="7">
        <v>133</v>
      </c>
      <c r="H16" s="8">
        <v>2.2857142857142856</v>
      </c>
      <c r="I16" s="7">
        <v>3.04</v>
      </c>
      <c r="M16" s="7">
        <v>13</v>
      </c>
      <c r="N16" s="7">
        <v>7.25</v>
      </c>
    </row>
    <row r="17" spans="1:14">
      <c r="A17" s="7">
        <v>9</v>
      </c>
      <c r="B17" s="7">
        <v>130</v>
      </c>
      <c r="H17" s="8">
        <v>2.0797227036395149</v>
      </c>
      <c r="I17" s="7">
        <v>2.7036395147313694</v>
      </c>
      <c r="M17" s="7">
        <v>14</v>
      </c>
      <c r="N17" s="7">
        <v>7.5</v>
      </c>
    </row>
    <row r="18" spans="1:14">
      <c r="B18" s="7">
        <v>121.5</v>
      </c>
      <c r="H18" s="8">
        <v>2</v>
      </c>
      <c r="I18" s="7">
        <v>2.4300000000000002</v>
      </c>
      <c r="M18" s="7">
        <v>15</v>
      </c>
      <c r="N18" s="7">
        <v>7.6</v>
      </c>
    </row>
    <row r="19" spans="1:14">
      <c r="B19" s="7">
        <v>115.5</v>
      </c>
      <c r="H19" s="8">
        <v>1.935483870967742</v>
      </c>
      <c r="I19" s="7">
        <v>2.2354838709677418</v>
      </c>
      <c r="M19" s="7">
        <v>16</v>
      </c>
      <c r="N19" s="7">
        <v>8.3800000000000008</v>
      </c>
    </row>
    <row r="20" spans="1:14">
      <c r="A20" s="7">
        <v>10</v>
      </c>
      <c r="B20" s="7">
        <v>113.5</v>
      </c>
      <c r="H20" s="8">
        <v>1.7391304347826086</v>
      </c>
      <c r="I20" s="7">
        <v>1.9739130434782608</v>
      </c>
      <c r="M20" s="7">
        <v>17</v>
      </c>
      <c r="N20" s="7">
        <v>8</v>
      </c>
    </row>
    <row r="21" spans="1:14">
      <c r="B21" s="7">
        <v>113</v>
      </c>
      <c r="H21" s="8">
        <v>1.42433234421365</v>
      </c>
      <c r="I21" s="7">
        <v>1.6094955489614244</v>
      </c>
      <c r="M21" s="7">
        <v>18</v>
      </c>
      <c r="N21" s="7">
        <v>8.3800000000000008</v>
      </c>
    </row>
    <row r="22" spans="1:14">
      <c r="B22" s="7">
        <v>144</v>
      </c>
      <c r="H22" s="8">
        <v>0.92735703245749612</v>
      </c>
      <c r="I22" s="7">
        <v>1.3353941267387943</v>
      </c>
      <c r="M22" s="7">
        <v>19</v>
      </c>
      <c r="N22" s="7">
        <v>8.5</v>
      </c>
    </row>
    <row r="23" spans="1:14">
      <c r="A23" s="7">
        <v>11</v>
      </c>
      <c r="B23" s="7">
        <v>156</v>
      </c>
      <c r="H23" s="8">
        <v>0.74719800747198006</v>
      </c>
      <c r="I23" s="7">
        <v>1.1656288916562889</v>
      </c>
      <c r="M23" s="7">
        <v>20</v>
      </c>
    </row>
    <row r="24" spans="1:14">
      <c r="B24" s="7">
        <v>175</v>
      </c>
      <c r="H24" s="8">
        <v>0.70567480152896211</v>
      </c>
      <c r="I24" s="7">
        <v>1.2349309026756836</v>
      </c>
      <c r="M24" s="7">
        <v>21</v>
      </c>
      <c r="N24" s="7">
        <v>8.1300000000000008</v>
      </c>
    </row>
    <row r="25" spans="1:14">
      <c r="B25" s="7">
        <v>328</v>
      </c>
      <c r="H25" s="8">
        <v>0.67132867132867136</v>
      </c>
      <c r="I25" s="7">
        <v>2.2019580419580422</v>
      </c>
      <c r="M25" s="7">
        <v>22</v>
      </c>
      <c r="N25" s="7">
        <v>8.5</v>
      </c>
    </row>
    <row r="26" spans="1:14">
      <c r="A26" s="7">
        <v>12</v>
      </c>
      <c r="B26" s="7">
        <v>460</v>
      </c>
      <c r="H26" s="8">
        <v>0.72948328267477203</v>
      </c>
      <c r="I26" s="7">
        <v>3.3556231003039514</v>
      </c>
      <c r="M26" s="7">
        <v>23</v>
      </c>
      <c r="N26" s="7">
        <v>8.58</v>
      </c>
    </row>
    <row r="27" spans="1:14">
      <c r="M27" s="7">
        <v>24</v>
      </c>
      <c r="N27" s="7">
        <v>8.5</v>
      </c>
    </row>
    <row r="28" spans="1:14">
      <c r="M28" s="7">
        <v>25</v>
      </c>
      <c r="N28" s="7">
        <v>8.5</v>
      </c>
    </row>
    <row r="29" spans="1:14">
      <c r="A29" s="7">
        <v>1796</v>
      </c>
      <c r="M29" s="7">
        <v>26</v>
      </c>
      <c r="N29" s="7">
        <v>8.65</v>
      </c>
    </row>
    <row r="30" spans="1:14">
      <c r="B30" s="7">
        <v>280</v>
      </c>
      <c r="H30" s="8">
        <v>0.43859649122807015</v>
      </c>
      <c r="I30" s="7">
        <v>1.2280701754385965</v>
      </c>
      <c r="M30" s="7">
        <v>27</v>
      </c>
      <c r="N30" s="7">
        <v>8.5</v>
      </c>
    </row>
    <row r="31" spans="1:14">
      <c r="B31" s="7">
        <v>205</v>
      </c>
      <c r="H31" s="8">
        <v>0.45775319473583825</v>
      </c>
      <c r="I31" s="7">
        <v>0.93839404920846847</v>
      </c>
      <c r="M31" s="7">
        <v>28</v>
      </c>
      <c r="N31" s="7">
        <v>8.5</v>
      </c>
    </row>
    <row r="32" spans="1:14">
      <c r="A32" s="7">
        <v>2</v>
      </c>
      <c r="B32" s="7">
        <v>305</v>
      </c>
      <c r="H32" s="8">
        <v>0.39222095113580652</v>
      </c>
      <c r="I32" s="7">
        <v>1.1962739009642098</v>
      </c>
      <c r="M32" s="7">
        <v>29</v>
      </c>
      <c r="N32" s="7">
        <v>8.65</v>
      </c>
    </row>
    <row r="33" spans="1:14">
      <c r="B33" s="7">
        <v>275</v>
      </c>
      <c r="H33" s="8">
        <v>0.34231921266581089</v>
      </c>
      <c r="I33" s="7">
        <v>0.94137783483097992</v>
      </c>
      <c r="M33" s="7">
        <v>30</v>
      </c>
    </row>
    <row r="34" spans="1:14">
      <c r="L34" s="7" t="s">
        <v>127</v>
      </c>
      <c r="M34" s="7">
        <v>1</v>
      </c>
      <c r="N34" s="7">
        <v>9.5</v>
      </c>
    </row>
    <row r="35" spans="1:14">
      <c r="A35" s="7">
        <v>3</v>
      </c>
      <c r="B35" s="7">
        <v>325</v>
      </c>
      <c r="H35" s="8">
        <v>0.34042553191489361</v>
      </c>
      <c r="I35" s="7">
        <v>1.1063829787234043</v>
      </c>
      <c r="M35" s="7">
        <v>2</v>
      </c>
      <c r="N35" s="7">
        <v>9.75</v>
      </c>
    </row>
    <row r="36" spans="1:14">
      <c r="B36" s="7">
        <v>600</v>
      </c>
      <c r="H36" s="8">
        <v>0.38709677419354838</v>
      </c>
      <c r="I36" s="7">
        <v>2.3225806451612905</v>
      </c>
      <c r="M36" s="7">
        <v>3</v>
      </c>
      <c r="N36" s="7">
        <v>10</v>
      </c>
    </row>
    <row r="37" spans="1:14">
      <c r="B37" s="7">
        <v>385</v>
      </c>
      <c r="H37" s="8">
        <v>0.41379310344827586</v>
      </c>
      <c r="I37" s="7">
        <v>1.5931034482758621</v>
      </c>
      <c r="M37" s="7">
        <v>4</v>
      </c>
      <c r="N37" s="7">
        <v>10.75</v>
      </c>
    </row>
    <row r="38" spans="1:14">
      <c r="A38" s="7">
        <f>A35+1</f>
        <v>4</v>
      </c>
      <c r="B38" s="7">
        <v>555</v>
      </c>
      <c r="H38" s="8">
        <v>0.41379310344827586</v>
      </c>
      <c r="I38" s="7">
        <v>2.296551724137931</v>
      </c>
      <c r="M38" s="7">
        <v>5</v>
      </c>
      <c r="N38" s="7">
        <v>11.68</v>
      </c>
    </row>
    <row r="39" spans="1:14">
      <c r="B39" s="7">
        <v>475</v>
      </c>
      <c r="H39" s="8">
        <v>0.39834024896265557</v>
      </c>
      <c r="I39" s="7">
        <v>1.892116182572614</v>
      </c>
      <c r="M39" s="7">
        <v>6</v>
      </c>
      <c r="N39" s="7">
        <v>11.38</v>
      </c>
    </row>
    <row r="40" spans="1:14">
      <c r="B40" s="7">
        <v>490</v>
      </c>
      <c r="H40" s="8">
        <v>0.37354085603112841</v>
      </c>
      <c r="I40" s="7">
        <v>1.8303501945525291</v>
      </c>
      <c r="M40" s="7">
        <v>7</v>
      </c>
      <c r="N40" s="7">
        <v>10.75</v>
      </c>
    </row>
    <row r="41" spans="1:14">
      <c r="A41" s="7">
        <f>A38+1</f>
        <v>5</v>
      </c>
      <c r="B41" s="7">
        <v>475</v>
      </c>
      <c r="H41" s="8">
        <v>0.29813664596273293</v>
      </c>
      <c r="I41" s="7">
        <v>1.4161490683229814</v>
      </c>
      <c r="M41" s="7">
        <v>8</v>
      </c>
      <c r="N41" s="7">
        <v>11</v>
      </c>
    </row>
    <row r="42" spans="1:14">
      <c r="B42" s="7">
        <v>550</v>
      </c>
      <c r="H42" s="8">
        <v>0.26229508196721313</v>
      </c>
      <c r="I42" s="7">
        <v>1.4426229508196722</v>
      </c>
      <c r="M42" s="7">
        <v>9</v>
      </c>
      <c r="N42" s="7">
        <v>11.75</v>
      </c>
    </row>
    <row r="43" spans="1:14">
      <c r="B43" s="7">
        <v>850</v>
      </c>
      <c r="H43" s="8">
        <v>0.20168067226890757</v>
      </c>
      <c r="I43" s="7">
        <v>1.7142857142857144</v>
      </c>
      <c r="M43" s="7">
        <v>10</v>
      </c>
    </row>
    <row r="44" spans="1:14">
      <c r="A44" s="7">
        <f>A41+1</f>
        <v>6</v>
      </c>
      <c r="B44" s="7">
        <v>60</v>
      </c>
      <c r="H44" s="8">
        <v>7.25</v>
      </c>
      <c r="I44" s="7">
        <v>4.3499999999999996</v>
      </c>
      <c r="M44" s="7">
        <v>11</v>
      </c>
      <c r="N44" s="7">
        <v>11.25</v>
      </c>
    </row>
    <row r="45" spans="1:14">
      <c r="B45" s="7">
        <v>35</v>
      </c>
      <c r="H45" s="8">
        <v>7.875</v>
      </c>
      <c r="I45" s="7">
        <v>2.7562500000000001</v>
      </c>
      <c r="M45" s="7">
        <v>12</v>
      </c>
      <c r="N45" s="7">
        <v>11.25</v>
      </c>
    </row>
    <row r="46" spans="1:14">
      <c r="B46" s="7">
        <v>37.5</v>
      </c>
      <c r="H46" s="8">
        <v>7.875</v>
      </c>
      <c r="I46" s="7">
        <v>2.953125</v>
      </c>
      <c r="M46" s="7">
        <v>13</v>
      </c>
      <c r="N46" s="7">
        <v>11</v>
      </c>
    </row>
    <row r="47" spans="1:14">
      <c r="A47" s="7">
        <v>7</v>
      </c>
      <c r="B47" s="7">
        <v>37.5</v>
      </c>
      <c r="H47" s="8">
        <v>6.875</v>
      </c>
      <c r="I47" s="7">
        <v>2.578125</v>
      </c>
      <c r="M47" s="7">
        <v>14</v>
      </c>
      <c r="N47" s="7">
        <v>10.88</v>
      </c>
    </row>
    <row r="48" spans="1:14">
      <c r="B48" s="7">
        <v>40</v>
      </c>
      <c r="H48" s="8">
        <v>5.0999999999999996</v>
      </c>
      <c r="I48" s="7">
        <v>2.04</v>
      </c>
      <c r="M48" s="7">
        <v>15</v>
      </c>
      <c r="N48" s="7">
        <v>11.13</v>
      </c>
    </row>
    <row r="49" spans="1:14">
      <c r="B49" s="7">
        <v>60</v>
      </c>
      <c r="H49" s="8">
        <v>3.5750000000000002</v>
      </c>
      <c r="I49" s="7">
        <v>2.145</v>
      </c>
      <c r="M49" s="7">
        <v>16</v>
      </c>
      <c r="N49" s="7">
        <v>11</v>
      </c>
    </row>
    <row r="50" spans="1:14">
      <c r="A50" s="7">
        <v>8</v>
      </c>
      <c r="B50" s="7">
        <v>100</v>
      </c>
      <c r="H50" s="8">
        <v>1.5249999999999999</v>
      </c>
      <c r="I50" s="7">
        <v>1.5249999999999999</v>
      </c>
      <c r="M50" s="7">
        <v>17</v>
      </c>
      <c r="N50" s="7">
        <v>11.38</v>
      </c>
    </row>
    <row r="51" spans="1:14">
      <c r="B51" s="7">
        <v>100</v>
      </c>
      <c r="H51" s="8">
        <v>3.45</v>
      </c>
      <c r="I51" s="7">
        <v>3.45</v>
      </c>
      <c r="M51" s="7">
        <v>18</v>
      </c>
    </row>
    <row r="52" spans="1:14">
      <c r="B52" s="7">
        <v>100</v>
      </c>
      <c r="H52" s="8">
        <v>2.4500000000000002</v>
      </c>
      <c r="I52" s="7">
        <v>2.4500000000000002</v>
      </c>
      <c r="M52" s="7">
        <v>19</v>
      </c>
      <c r="N52" s="7">
        <v>14.75</v>
      </c>
    </row>
    <row r="53" spans="1:14">
      <c r="A53" s="7">
        <v>9</v>
      </c>
      <c r="M53" s="7">
        <v>20</v>
      </c>
    </row>
    <row r="54" spans="1:14">
      <c r="M54" s="7">
        <v>21</v>
      </c>
      <c r="N54" s="7">
        <v>16.75</v>
      </c>
    </row>
    <row r="55" spans="1:14">
      <c r="M55" s="7">
        <v>22</v>
      </c>
      <c r="N55" s="7">
        <v>18.75</v>
      </c>
    </row>
    <row r="56" spans="1:14">
      <c r="A56" s="7">
        <v>10</v>
      </c>
      <c r="M56" s="7">
        <v>23</v>
      </c>
      <c r="N56" s="7">
        <v>21.25</v>
      </c>
    </row>
    <row r="57" spans="1:14">
      <c r="M57" s="7">
        <v>24</v>
      </c>
      <c r="N57" s="7">
        <v>22</v>
      </c>
    </row>
    <row r="58" spans="1:14">
      <c r="M58" s="7">
        <v>25</v>
      </c>
      <c r="N58" s="7">
        <v>19.5</v>
      </c>
    </row>
    <row r="59" spans="1:14">
      <c r="A59" s="7">
        <v>11</v>
      </c>
      <c r="M59" s="7">
        <v>26</v>
      </c>
      <c r="N59" s="7">
        <v>20</v>
      </c>
    </row>
    <row r="60" spans="1:14">
      <c r="M60" s="7">
        <v>27</v>
      </c>
      <c r="N60" s="7">
        <v>20</v>
      </c>
    </row>
    <row r="61" spans="1:14">
      <c r="M61" s="7">
        <v>28</v>
      </c>
      <c r="N61" s="7">
        <v>20.5</v>
      </c>
    </row>
    <row r="62" spans="1:14">
      <c r="A62" s="7">
        <v>12</v>
      </c>
      <c r="M62" s="7">
        <v>29</v>
      </c>
      <c r="N62" s="7">
        <v>22.5</v>
      </c>
    </row>
    <row r="63" spans="1:14">
      <c r="M63" s="7">
        <v>30</v>
      </c>
    </row>
    <row r="64" spans="1:14">
      <c r="L64" s="7" t="s">
        <v>125</v>
      </c>
      <c r="M64" s="7">
        <v>1</v>
      </c>
      <c r="N64" s="7">
        <v>22</v>
      </c>
    </row>
    <row r="65" spans="1:14">
      <c r="A65" s="7">
        <v>1797</v>
      </c>
      <c r="M65" s="7">
        <v>2</v>
      </c>
      <c r="N65" s="7">
        <v>20</v>
      </c>
    </row>
    <row r="66" spans="1:14">
      <c r="B66" s="7">
        <v>9.75</v>
      </c>
      <c r="I66" s="7">
        <v>9.75</v>
      </c>
      <c r="M66" s="7">
        <v>3</v>
      </c>
      <c r="N66" s="7">
        <v>19</v>
      </c>
    </row>
    <row r="67" spans="1:14">
      <c r="B67" s="7">
        <v>8.4499999999999993</v>
      </c>
      <c r="I67" s="7">
        <v>8.4499999999999993</v>
      </c>
      <c r="M67" s="7">
        <v>4</v>
      </c>
      <c r="N67" s="7">
        <v>20</v>
      </c>
    </row>
    <row r="68" spans="1:14">
      <c r="A68" s="7">
        <v>2</v>
      </c>
      <c r="B68" s="7">
        <v>10</v>
      </c>
      <c r="I68" s="7">
        <v>10</v>
      </c>
      <c r="M68" s="7">
        <v>5</v>
      </c>
      <c r="N68" s="7">
        <v>19</v>
      </c>
    </row>
    <row r="69" spans="1:14">
      <c r="B69" s="7">
        <v>9</v>
      </c>
      <c r="I69" s="7">
        <v>9</v>
      </c>
      <c r="M69" s="7">
        <v>6</v>
      </c>
      <c r="N69" s="7">
        <v>19.75</v>
      </c>
    </row>
    <row r="70" spans="1:14">
      <c r="B70" s="7">
        <v>8.5</v>
      </c>
      <c r="I70" s="7">
        <v>8.5</v>
      </c>
      <c r="M70" s="7">
        <v>7</v>
      </c>
      <c r="N70" s="7">
        <v>20</v>
      </c>
    </row>
    <row r="71" spans="1:14">
      <c r="A71" s="7">
        <v>3</v>
      </c>
      <c r="B71" s="7">
        <v>8.5625</v>
      </c>
      <c r="I71" s="7">
        <v>8.5625</v>
      </c>
      <c r="M71" s="7">
        <v>8</v>
      </c>
      <c r="N71" s="7">
        <v>19.25</v>
      </c>
    </row>
    <row r="72" spans="1:14">
      <c r="B72" s="7">
        <v>8.875</v>
      </c>
      <c r="I72" s="7">
        <v>8.875</v>
      </c>
      <c r="M72" s="7">
        <v>9</v>
      </c>
      <c r="N72" s="7">
        <v>19.75</v>
      </c>
    </row>
    <row r="73" spans="1:14">
      <c r="B73" s="7">
        <v>8.75</v>
      </c>
      <c r="I73" s="7">
        <v>8.75</v>
      </c>
      <c r="M73" s="7">
        <v>10</v>
      </c>
    </row>
    <row r="74" spans="1:14">
      <c r="A74" s="7">
        <f>A71+1</f>
        <v>4</v>
      </c>
      <c r="B74" s="7">
        <v>9.4499999999999993</v>
      </c>
      <c r="C74" s="7">
        <v>9.8000000000000007</v>
      </c>
      <c r="D74" s="7">
        <v>38.25</v>
      </c>
      <c r="I74" s="7">
        <v>9.4499999999999993</v>
      </c>
      <c r="M74" s="7">
        <v>11</v>
      </c>
      <c r="N74" s="7">
        <v>19.75</v>
      </c>
    </row>
    <row r="75" spans="1:14">
      <c r="B75" s="7">
        <v>10.324999999999999</v>
      </c>
      <c r="C75" s="7">
        <v>10.15</v>
      </c>
      <c r="D75" s="7">
        <v>38.5</v>
      </c>
      <c r="I75" s="7">
        <v>10.324999999999999</v>
      </c>
      <c r="M75" s="7">
        <v>12</v>
      </c>
      <c r="N75" s="7">
        <v>19.75</v>
      </c>
    </row>
    <row r="76" spans="1:14">
      <c r="B76" s="7">
        <v>14.75</v>
      </c>
      <c r="C76" s="7">
        <v>14.75</v>
      </c>
      <c r="D76" s="7">
        <v>38</v>
      </c>
      <c r="I76" s="7">
        <v>14.75</v>
      </c>
      <c r="M76" s="7">
        <v>13</v>
      </c>
      <c r="N76" s="7">
        <v>19.25</v>
      </c>
    </row>
    <row r="77" spans="1:14">
      <c r="A77" s="7">
        <f>A74+1</f>
        <v>5</v>
      </c>
      <c r="B77" s="7">
        <v>20</v>
      </c>
      <c r="C77" s="7">
        <v>20.2</v>
      </c>
      <c r="D77" s="7">
        <v>16.7</v>
      </c>
      <c r="I77" s="7">
        <v>20</v>
      </c>
      <c r="M77" s="7">
        <v>14</v>
      </c>
      <c r="N77" s="7">
        <v>19.399999999999999</v>
      </c>
    </row>
    <row r="78" spans="1:14">
      <c r="B78" s="7">
        <v>23</v>
      </c>
      <c r="C78" s="7">
        <v>19.75</v>
      </c>
      <c r="D78" s="7">
        <v>21</v>
      </c>
      <c r="I78" s="7">
        <v>23</v>
      </c>
      <c r="M78" s="7">
        <v>15</v>
      </c>
      <c r="N78" s="7">
        <v>19.88</v>
      </c>
    </row>
    <row r="79" spans="1:14">
      <c r="B79" s="7">
        <v>25.25</v>
      </c>
      <c r="C79" s="7">
        <v>20.25</v>
      </c>
      <c r="D79" s="7">
        <v>30</v>
      </c>
      <c r="I79" s="7">
        <v>25.25</v>
      </c>
      <c r="M79" s="7">
        <v>16</v>
      </c>
      <c r="N79" s="7">
        <v>20.25</v>
      </c>
    </row>
    <row r="80" spans="1:14">
      <c r="A80" s="7">
        <f>A77+1</f>
        <v>6</v>
      </c>
      <c r="B80" s="7">
        <v>34</v>
      </c>
      <c r="C80" s="7">
        <v>20.75</v>
      </c>
      <c r="D80" s="7">
        <v>24</v>
      </c>
      <c r="I80" s="7">
        <v>34</v>
      </c>
      <c r="M80" s="7">
        <v>17</v>
      </c>
      <c r="N80" s="7">
        <v>20.38</v>
      </c>
    </row>
    <row r="81" spans="1:14">
      <c r="B81" s="7">
        <v>31.5</v>
      </c>
      <c r="C81" s="7">
        <v>20.8</v>
      </c>
      <c r="D81" s="7">
        <v>30.75</v>
      </c>
      <c r="I81" s="7">
        <v>31.5</v>
      </c>
      <c r="M81" s="7">
        <v>18</v>
      </c>
      <c r="N81" s="7">
        <v>21</v>
      </c>
    </row>
    <row r="82" spans="1:14">
      <c r="B82" s="7">
        <v>27.25</v>
      </c>
      <c r="C82" s="7">
        <v>18.5</v>
      </c>
      <c r="D82" s="7">
        <v>36</v>
      </c>
      <c r="I82" s="7">
        <v>27.25</v>
      </c>
      <c r="M82" s="7">
        <v>19</v>
      </c>
      <c r="N82" s="7">
        <v>22</v>
      </c>
    </row>
    <row r="83" spans="1:14">
      <c r="A83" s="7">
        <v>7</v>
      </c>
      <c r="M83" s="7">
        <v>20</v>
      </c>
    </row>
    <row r="84" spans="1:14">
      <c r="C84" s="7">
        <v>16.125</v>
      </c>
      <c r="D84" s="7">
        <v>40.5</v>
      </c>
      <c r="M84" s="7">
        <v>21</v>
      </c>
      <c r="N84" s="7">
        <v>22</v>
      </c>
    </row>
    <row r="85" spans="1:14">
      <c r="B85" s="7">
        <v>17</v>
      </c>
      <c r="C85" s="7">
        <v>13.15</v>
      </c>
      <c r="I85" s="7">
        <v>17</v>
      </c>
      <c r="M85" s="7">
        <v>22</v>
      </c>
      <c r="N85" s="7">
        <v>21.25</v>
      </c>
    </row>
    <row r="86" spans="1:14">
      <c r="A86" s="7">
        <v>8</v>
      </c>
      <c r="B86" s="7">
        <v>16.5</v>
      </c>
      <c r="C86" s="7">
        <v>12</v>
      </c>
      <c r="D86" s="7">
        <v>42</v>
      </c>
      <c r="I86" s="7">
        <v>16.5</v>
      </c>
      <c r="M86" s="7">
        <v>23</v>
      </c>
      <c r="N86" s="7">
        <v>21.25</v>
      </c>
    </row>
    <row r="87" spans="1:14">
      <c r="B87" s="7">
        <v>15</v>
      </c>
      <c r="C87" s="7">
        <v>11.2</v>
      </c>
      <c r="D87" s="7">
        <v>48</v>
      </c>
      <c r="I87" s="7">
        <v>15</v>
      </c>
      <c r="M87" s="7">
        <v>24</v>
      </c>
      <c r="N87" s="7">
        <v>21.5</v>
      </c>
    </row>
    <row r="88" spans="1:14">
      <c r="B88" s="7">
        <v>16.75</v>
      </c>
      <c r="C88" s="7">
        <v>13.45</v>
      </c>
      <c r="D88" s="7">
        <v>48</v>
      </c>
      <c r="I88" s="7">
        <v>16.75</v>
      </c>
      <c r="M88" s="7">
        <v>25</v>
      </c>
      <c r="N88" s="7">
        <v>20.75</v>
      </c>
    </row>
    <row r="89" spans="1:14">
      <c r="A89" s="7">
        <v>9</v>
      </c>
      <c r="B89" s="7">
        <v>11.75</v>
      </c>
      <c r="C89" s="7">
        <v>9.5250000000000004</v>
      </c>
      <c r="D89" s="7">
        <v>47</v>
      </c>
      <c r="I89" s="7">
        <v>11.75</v>
      </c>
      <c r="M89" s="7">
        <v>26</v>
      </c>
      <c r="N89" s="7">
        <v>20.5</v>
      </c>
    </row>
    <row r="90" spans="1:14">
      <c r="B90" s="7">
        <v>8.75</v>
      </c>
      <c r="C90" s="7">
        <v>6.75</v>
      </c>
      <c r="D90" s="7">
        <v>41</v>
      </c>
      <c r="I90" s="7">
        <v>8.75</v>
      </c>
      <c r="M90" s="7">
        <v>27</v>
      </c>
      <c r="N90" s="7">
        <v>19</v>
      </c>
    </row>
    <row r="91" spans="1:14">
      <c r="B91" s="7">
        <v>8.5</v>
      </c>
      <c r="C91" s="7">
        <v>6.75</v>
      </c>
      <c r="D91" s="7">
        <v>54</v>
      </c>
      <c r="I91" s="7">
        <v>8.5</v>
      </c>
      <c r="M91" s="7">
        <v>28</v>
      </c>
      <c r="N91" s="7">
        <v>19</v>
      </c>
    </row>
    <row r="92" spans="1:14">
      <c r="A92" s="7">
        <v>10</v>
      </c>
      <c r="B92" s="7">
        <v>7</v>
      </c>
      <c r="C92" s="7">
        <v>6</v>
      </c>
      <c r="D92" s="7">
        <v>47</v>
      </c>
      <c r="G92" s="7">
        <f>I92*3</f>
        <v>21</v>
      </c>
      <c r="I92" s="7">
        <v>7</v>
      </c>
      <c r="M92" s="7">
        <v>29</v>
      </c>
      <c r="N92" s="7">
        <v>19.75</v>
      </c>
    </row>
    <row r="93" spans="1:14">
      <c r="B93" s="7">
        <v>7.5</v>
      </c>
      <c r="C93" s="7">
        <v>5.875</v>
      </c>
      <c r="D93" s="7">
        <v>45</v>
      </c>
      <c r="G93" s="7">
        <f>I93*3</f>
        <v>22.5</v>
      </c>
      <c r="I93" s="7">
        <v>7.5</v>
      </c>
      <c r="M93" s="7">
        <v>30</v>
      </c>
    </row>
    <row r="94" spans="1:14">
      <c r="B94" s="7">
        <v>9.75</v>
      </c>
      <c r="C94" s="7">
        <v>7.5</v>
      </c>
      <c r="D94" s="7">
        <v>48</v>
      </c>
      <c r="G94" s="7">
        <f>I94*3</f>
        <v>29.25</v>
      </c>
      <c r="I94" s="7">
        <v>9.75</v>
      </c>
    </row>
    <row r="95" spans="1:14">
      <c r="A95" s="7">
        <v>11</v>
      </c>
      <c r="B95" s="7">
        <v>9.125</v>
      </c>
      <c r="C95" s="7">
        <v>6</v>
      </c>
      <c r="D95" s="7">
        <v>51</v>
      </c>
      <c r="G95" s="7">
        <f>I95*3</f>
        <v>27.375</v>
      </c>
      <c r="I95" s="7">
        <v>9.125</v>
      </c>
    </row>
    <row r="96" spans="1:14">
      <c r="B96" s="7">
        <v>8</v>
      </c>
      <c r="C96" s="7">
        <v>5.625</v>
      </c>
      <c r="D96" s="7">
        <v>67</v>
      </c>
      <c r="G96" s="7">
        <f>I96*3</f>
        <v>24</v>
      </c>
      <c r="I96" s="7">
        <v>8</v>
      </c>
    </row>
    <row r="97" spans="1:9">
      <c r="B97" s="7">
        <v>7.5</v>
      </c>
      <c r="C97" s="7">
        <v>4.7249999999999996</v>
      </c>
      <c r="D97" s="7">
        <v>60</v>
      </c>
      <c r="G97" s="7">
        <f>I97*3</f>
        <v>22.5</v>
      </c>
      <c r="I97" s="7">
        <v>7.5</v>
      </c>
    </row>
    <row r="98" spans="1:9">
      <c r="A98" s="7">
        <v>12</v>
      </c>
      <c r="B98" s="7">
        <v>7.875</v>
      </c>
      <c r="C98" s="7">
        <v>4.9000000000000004</v>
      </c>
      <c r="D98" s="7">
        <v>66</v>
      </c>
      <c r="G98" s="7">
        <f>I98*3</f>
        <v>23.625</v>
      </c>
      <c r="I98" s="7">
        <v>7.875</v>
      </c>
    </row>
    <row r="99" spans="1:9">
      <c r="B99" s="7">
        <v>7.625</v>
      </c>
      <c r="C99" s="7">
        <v>4.2</v>
      </c>
      <c r="D99" s="7">
        <v>70</v>
      </c>
      <c r="G99" s="7">
        <f>I99*3</f>
        <v>22.875</v>
      </c>
      <c r="I99" s="7">
        <v>7.625</v>
      </c>
    </row>
    <row r="100" spans="1:9">
      <c r="B100" s="7">
        <v>7</v>
      </c>
      <c r="C100" s="7">
        <v>3.65</v>
      </c>
      <c r="D100" s="7">
        <v>70</v>
      </c>
      <c r="G100" s="7">
        <f>I100*3</f>
        <v>21</v>
      </c>
      <c r="I100" s="7">
        <v>7</v>
      </c>
    </row>
    <row r="101" spans="1:9">
      <c r="A101" s="7">
        <v>1798</v>
      </c>
      <c r="C101" s="7">
        <v>3.2</v>
      </c>
      <c r="D101" s="7">
        <v>74.5</v>
      </c>
      <c r="E101" s="7">
        <f>2.8+1/80</f>
        <v>2.8125</v>
      </c>
      <c r="F101" s="7">
        <v>17</v>
      </c>
    </row>
    <row r="102" spans="1:9">
      <c r="C102" s="7">
        <v>2.7</v>
      </c>
      <c r="D102" s="7">
        <v>70</v>
      </c>
      <c r="E102" s="7">
        <f>2.75+1/40</f>
        <v>2.7749999999999999</v>
      </c>
      <c r="F102" s="7">
        <v>21.9</v>
      </c>
    </row>
    <row r="103" spans="1:9">
      <c r="C103" s="7">
        <v>2.1</v>
      </c>
      <c r="D103" s="7">
        <v>69</v>
      </c>
      <c r="E103" s="7">
        <f>2.1+9/240</f>
        <v>2.1375000000000002</v>
      </c>
      <c r="F103" s="7">
        <v>20</v>
      </c>
    </row>
    <row r="104" spans="1:9">
      <c r="A104" s="7">
        <v>2</v>
      </c>
      <c r="C104" s="7">
        <v>1.8</v>
      </c>
      <c r="D104" s="7">
        <v>65</v>
      </c>
      <c r="E104" s="7">
        <v>1.85</v>
      </c>
      <c r="F104" s="7">
        <v>20</v>
      </c>
    </row>
    <row r="105" spans="1:9">
      <c r="C105" s="7">
        <v>1.9</v>
      </c>
      <c r="D105" s="7">
        <v>54</v>
      </c>
      <c r="E105" s="7">
        <f>1.95+1/40</f>
        <v>1.9749999999999999</v>
      </c>
      <c r="F105" s="7">
        <v>19.75</v>
      </c>
    </row>
    <row r="106" spans="1:9">
      <c r="C106" s="7">
        <v>1.8</v>
      </c>
      <c r="D106" s="7">
        <v>62</v>
      </c>
      <c r="E106" s="7">
        <f>1.85+1/80</f>
        <v>1.8625</v>
      </c>
      <c r="F106" s="7">
        <v>20.100000000000001</v>
      </c>
    </row>
    <row r="107" spans="1:9">
      <c r="A107" s="7">
        <v>3</v>
      </c>
      <c r="C107" s="7">
        <v>1.85</v>
      </c>
      <c r="D107" s="7">
        <v>50</v>
      </c>
      <c r="E107" s="7">
        <v>1.9</v>
      </c>
      <c r="F107" s="7">
        <v>19.87</v>
      </c>
    </row>
    <row r="108" spans="1:9">
      <c r="D108" s="7">
        <v>50</v>
      </c>
      <c r="E108" s="7">
        <v>1.9</v>
      </c>
      <c r="F108" s="7">
        <v>18.75</v>
      </c>
    </row>
    <row r="109" spans="1:9">
      <c r="C109" s="7">
        <v>1.89</v>
      </c>
      <c r="D109" s="7">
        <v>45.9</v>
      </c>
      <c r="E109" s="7">
        <v>1.86</v>
      </c>
      <c r="F109" s="7">
        <v>16</v>
      </c>
    </row>
    <row r="110" spans="1:9">
      <c r="A110" s="7">
        <f>A107+1</f>
        <v>4</v>
      </c>
      <c r="D110" s="7">
        <v>38</v>
      </c>
      <c r="E110" s="7">
        <v>1.84</v>
      </c>
      <c r="F110" s="7">
        <v>17</v>
      </c>
    </row>
    <row r="111" spans="1:9">
      <c r="C111" s="7">
        <v>1.73</v>
      </c>
      <c r="D111" s="7">
        <v>40</v>
      </c>
      <c r="E111" s="7">
        <v>1.77</v>
      </c>
      <c r="F111" s="7">
        <v>16.37</v>
      </c>
    </row>
    <row r="112" spans="1:9">
      <c r="C112" s="7">
        <v>1.9</v>
      </c>
      <c r="D112" s="7">
        <v>39</v>
      </c>
      <c r="E112" s="7">
        <v>1.96</v>
      </c>
      <c r="F112" s="7">
        <v>16</v>
      </c>
    </row>
    <row r="113" spans="1:6">
      <c r="A113" s="7">
        <f>A110+1</f>
        <v>5</v>
      </c>
      <c r="C113" s="7">
        <v>1.85</v>
      </c>
      <c r="D113" s="7">
        <v>52</v>
      </c>
      <c r="E113" s="7">
        <v>1.91</v>
      </c>
      <c r="F113" s="7">
        <v>15.75</v>
      </c>
    </row>
    <row r="114" spans="1:6">
      <c r="C114" s="7">
        <v>1.78</v>
      </c>
      <c r="D114" s="7">
        <v>51</v>
      </c>
      <c r="E114" s="7">
        <v>1.83</v>
      </c>
      <c r="F114" s="7">
        <v>15</v>
      </c>
    </row>
    <row r="115" spans="1:6">
      <c r="C115" s="7">
        <v>1.88</v>
      </c>
      <c r="D115" s="7">
        <v>47</v>
      </c>
      <c r="E115" s="7">
        <v>1.9</v>
      </c>
      <c r="F115" s="7">
        <v>15.13</v>
      </c>
    </row>
    <row r="116" spans="1:6">
      <c r="A116" s="7">
        <f>A113+1</f>
        <v>6</v>
      </c>
      <c r="C116" s="7">
        <v>2</v>
      </c>
      <c r="E116" s="7">
        <v>2.0299999999999998</v>
      </c>
      <c r="F116" s="7">
        <v>14.5</v>
      </c>
    </row>
    <row r="117" spans="1:6">
      <c r="D117" s="7">
        <v>45</v>
      </c>
      <c r="E117" s="7">
        <v>2.25</v>
      </c>
      <c r="F117" s="7">
        <v>15.38</v>
      </c>
    </row>
    <row r="118" spans="1:6">
      <c r="C118" s="7">
        <v>2.48</v>
      </c>
      <c r="E118" s="7">
        <v>2.5299999999999998</v>
      </c>
      <c r="F118" s="7">
        <v>14.88</v>
      </c>
    </row>
    <row r="119" spans="1:6">
      <c r="A119" s="7">
        <v>7</v>
      </c>
      <c r="D119" s="7">
        <v>45</v>
      </c>
      <c r="E119" s="7">
        <v>2.21</v>
      </c>
      <c r="F119" s="7">
        <v>14.63</v>
      </c>
    </row>
    <row r="120" spans="1:6">
      <c r="D120" s="7">
        <v>45.5</v>
      </c>
      <c r="E120" s="7">
        <v>2.29</v>
      </c>
      <c r="F120" s="7">
        <v>14.5</v>
      </c>
    </row>
    <row r="121" spans="1:6">
      <c r="E121" s="7">
        <v>2.46</v>
      </c>
      <c r="F121" s="7">
        <v>17.5</v>
      </c>
    </row>
    <row r="122" spans="1:6">
      <c r="A122" s="7">
        <v>8</v>
      </c>
      <c r="C122" s="7">
        <v>2.2999999999999998</v>
      </c>
      <c r="D122" s="7">
        <v>43</v>
      </c>
      <c r="E122" s="7">
        <v>2.34</v>
      </c>
      <c r="F122" s="7">
        <v>18</v>
      </c>
    </row>
    <row r="123" spans="1:6">
      <c r="C123" s="7">
        <v>2.34</v>
      </c>
      <c r="E123" s="7">
        <v>2.37</v>
      </c>
      <c r="F123" s="7">
        <v>17.149999999999999</v>
      </c>
    </row>
    <row r="124" spans="1:6">
      <c r="C124" s="7">
        <v>2.34</v>
      </c>
      <c r="D124" s="7">
        <v>46.5</v>
      </c>
      <c r="E124" s="7">
        <v>2.37</v>
      </c>
      <c r="F124" s="7">
        <v>17</v>
      </c>
    </row>
    <row r="125" spans="1:6">
      <c r="A125" s="7">
        <v>9</v>
      </c>
      <c r="D125" s="7">
        <v>38</v>
      </c>
      <c r="E125" s="7">
        <v>2.39</v>
      </c>
      <c r="F125" s="7">
        <v>17.63</v>
      </c>
    </row>
    <row r="127" spans="1:6">
      <c r="D127" s="7">
        <v>37</v>
      </c>
      <c r="E127" s="7">
        <v>2.34</v>
      </c>
      <c r="F127" s="7">
        <v>18.63</v>
      </c>
    </row>
    <row r="128" spans="1:6">
      <c r="A128" s="7">
        <v>10</v>
      </c>
      <c r="C128" s="7">
        <v>2.2599999999999998</v>
      </c>
      <c r="D128" s="7">
        <v>28.3</v>
      </c>
      <c r="E128" s="7">
        <v>2.2999999999999998</v>
      </c>
      <c r="F128" s="7">
        <v>16.88</v>
      </c>
    </row>
    <row r="129" spans="1:6">
      <c r="C129" s="7">
        <v>2.38</v>
      </c>
      <c r="D129" s="7">
        <v>35</v>
      </c>
      <c r="E129" s="7">
        <v>2.4500000000000002</v>
      </c>
      <c r="F129" s="7">
        <v>16.25</v>
      </c>
    </row>
    <row r="130" spans="1:6">
      <c r="C130" s="7">
        <v>2.16</v>
      </c>
      <c r="E130" s="7">
        <v>2.2200000000000002</v>
      </c>
      <c r="F130" s="7">
        <v>12.63</v>
      </c>
    </row>
    <row r="131" spans="1:6">
      <c r="A131" s="7">
        <v>11</v>
      </c>
      <c r="C131" s="7">
        <v>2.13</v>
      </c>
      <c r="E131" s="7">
        <v>2.16</v>
      </c>
      <c r="F131" s="7">
        <v>12.75</v>
      </c>
    </row>
    <row r="132" spans="1:6">
      <c r="C132" s="7">
        <v>1.71</v>
      </c>
      <c r="E132" s="7">
        <v>1.98</v>
      </c>
      <c r="F132" s="7">
        <v>12.25</v>
      </c>
    </row>
    <row r="133" spans="1:6">
      <c r="E133" s="7">
        <v>1.91</v>
      </c>
      <c r="F133" s="7">
        <v>11.75</v>
      </c>
    </row>
    <row r="134" spans="1:6">
      <c r="A134" s="7">
        <v>12</v>
      </c>
      <c r="C134" s="7">
        <v>1.85</v>
      </c>
      <c r="E134" s="7">
        <v>1.9</v>
      </c>
      <c r="F134" s="7">
        <v>10</v>
      </c>
    </row>
    <row r="135" spans="1:6">
      <c r="C135" s="7">
        <v>1.88</v>
      </c>
      <c r="D135" s="7">
        <v>14</v>
      </c>
      <c r="E135" s="7">
        <v>1.9</v>
      </c>
      <c r="F135" s="7">
        <v>11.75</v>
      </c>
    </row>
    <row r="136" spans="1:6">
      <c r="E136" s="7">
        <v>1.86</v>
      </c>
      <c r="F136" s="7">
        <v>10.25</v>
      </c>
    </row>
    <row r="137" spans="1:6">
      <c r="A137" s="7">
        <v>1799</v>
      </c>
      <c r="C137" s="7">
        <v>1.84</v>
      </c>
      <c r="E137" s="7">
        <v>1.87</v>
      </c>
      <c r="F137" s="7">
        <v>12</v>
      </c>
    </row>
    <row r="138" spans="1:6">
      <c r="C138" s="7">
        <v>1.75</v>
      </c>
      <c r="E138" s="7">
        <v>1.78</v>
      </c>
      <c r="F138" s="7">
        <v>11.75</v>
      </c>
    </row>
    <row r="139" spans="1:6">
      <c r="D139" s="7">
        <v>10</v>
      </c>
      <c r="E139" s="7">
        <v>1.4</v>
      </c>
      <c r="F139" s="7">
        <v>10.88</v>
      </c>
    </row>
    <row r="140" spans="1:6">
      <c r="A140" s="7">
        <v>2</v>
      </c>
      <c r="C140" s="7">
        <v>1.18</v>
      </c>
      <c r="E140" s="7">
        <v>1.25</v>
      </c>
      <c r="F140" s="7">
        <v>11.75</v>
      </c>
    </row>
    <row r="141" spans="1:6">
      <c r="C141" s="7">
        <v>1.1499999999999999</v>
      </c>
      <c r="E141" s="7">
        <v>1.24</v>
      </c>
      <c r="F141" s="7">
        <v>10.75</v>
      </c>
    </row>
    <row r="142" spans="1:6">
      <c r="E142" s="7">
        <v>1.1499999999999999</v>
      </c>
      <c r="F142" s="7">
        <v>11.25</v>
      </c>
    </row>
    <row r="143" spans="1:6">
      <c r="A143" s="7">
        <v>3</v>
      </c>
      <c r="C143" s="7">
        <v>1</v>
      </c>
      <c r="E143" s="7">
        <v>1.0740000000000001</v>
      </c>
      <c r="F143" s="7">
        <v>10.130000000000001</v>
      </c>
    </row>
    <row r="144" spans="1:6">
      <c r="E144" s="7">
        <v>1.1299999999999999</v>
      </c>
      <c r="F144" s="7">
        <v>10.38</v>
      </c>
    </row>
    <row r="145" spans="1:6">
      <c r="D145" s="7">
        <v>16</v>
      </c>
      <c r="E145" s="7">
        <v>1.0900000000000001</v>
      </c>
      <c r="F145" s="7">
        <v>10.25</v>
      </c>
    </row>
    <row r="146" spans="1:6">
      <c r="A146" s="7">
        <f>A143+1</f>
        <v>4</v>
      </c>
      <c r="E146" s="7">
        <v>1.21</v>
      </c>
      <c r="F146" s="7">
        <v>10.5</v>
      </c>
    </row>
    <row r="147" spans="1:6">
      <c r="E147" s="7">
        <v>1.1399999999999999</v>
      </c>
      <c r="F147" s="7">
        <v>10.25</v>
      </c>
    </row>
    <row r="148" spans="1:6">
      <c r="E148" s="7">
        <v>1.1299999999999999</v>
      </c>
      <c r="F148" s="7">
        <v>10.75</v>
      </c>
    </row>
    <row r="149" spans="1:6">
      <c r="A149" s="7">
        <f>A146+1</f>
        <v>5</v>
      </c>
      <c r="E149" s="7">
        <v>1.1200000000000001</v>
      </c>
      <c r="F149" s="7">
        <v>10.88</v>
      </c>
    </row>
    <row r="150" spans="1:6">
      <c r="C150" s="7">
        <v>0.95</v>
      </c>
      <c r="E150" s="7">
        <v>1</v>
      </c>
      <c r="F150" s="7">
        <v>10.75</v>
      </c>
    </row>
    <row r="151" spans="1:6">
      <c r="E151" s="7">
        <v>0.99</v>
      </c>
      <c r="F151" s="7">
        <v>11.38</v>
      </c>
    </row>
    <row r="152" spans="1:6">
      <c r="A152" s="7">
        <f>A149+1</f>
        <v>6</v>
      </c>
      <c r="D152" s="7">
        <v>10</v>
      </c>
      <c r="E152" s="7">
        <v>0.98</v>
      </c>
      <c r="F152" s="7">
        <v>10.130000000000001</v>
      </c>
    </row>
    <row r="153" spans="1:6">
      <c r="E153" s="7">
        <v>0.95</v>
      </c>
      <c r="F153" s="7">
        <v>10.130000000000001</v>
      </c>
    </row>
    <row r="154" spans="1:6">
      <c r="E154" s="7">
        <v>0.88</v>
      </c>
      <c r="F154" s="7">
        <v>10</v>
      </c>
    </row>
    <row r="155" spans="1:6">
      <c r="A155" s="7">
        <v>7</v>
      </c>
      <c r="E155" s="7">
        <v>0.8</v>
      </c>
      <c r="F155" s="7">
        <v>9.5</v>
      </c>
    </row>
    <row r="156" spans="1:6">
      <c r="E156" s="7">
        <v>0.8</v>
      </c>
      <c r="F156" s="7">
        <v>9</v>
      </c>
    </row>
    <row r="157" spans="1:6">
      <c r="E157" s="7">
        <v>0.79</v>
      </c>
      <c r="F157" s="7">
        <v>8.6300000000000008</v>
      </c>
    </row>
    <row r="158" spans="1:6">
      <c r="A158" s="7">
        <v>8</v>
      </c>
      <c r="E158" s="7">
        <v>0.7</v>
      </c>
      <c r="F158" s="7">
        <v>7.88</v>
      </c>
    </row>
    <row r="159" spans="1:6">
      <c r="E159" s="7">
        <v>0.68</v>
      </c>
      <c r="F159" s="7">
        <v>8</v>
      </c>
    </row>
    <row r="160" spans="1:6">
      <c r="C160" s="7">
        <v>0.6</v>
      </c>
      <c r="E160" s="7">
        <v>0.64</v>
      </c>
      <c r="F160" s="7">
        <v>7.88</v>
      </c>
    </row>
    <row r="161" spans="1:6">
      <c r="A161" s="7">
        <v>9</v>
      </c>
      <c r="C161" s="7">
        <v>0.6</v>
      </c>
      <c r="E161" s="7">
        <v>0.64</v>
      </c>
      <c r="F161" s="7">
        <v>8.5</v>
      </c>
    </row>
    <row r="162" spans="1:6">
      <c r="C162" s="7">
        <v>0.63</v>
      </c>
      <c r="E162" s="7">
        <v>0.68</v>
      </c>
      <c r="F162" s="7">
        <v>7.75</v>
      </c>
    </row>
    <row r="163" spans="1:6">
      <c r="E163" s="7">
        <v>0.75</v>
      </c>
      <c r="F163" s="7">
        <v>7.5</v>
      </c>
    </row>
    <row r="164" spans="1:6">
      <c r="A164" s="7">
        <v>10</v>
      </c>
      <c r="E164" s="7">
        <v>0.75</v>
      </c>
      <c r="F164" s="7">
        <v>8.1300000000000008</v>
      </c>
    </row>
    <row r="165" spans="1:6">
      <c r="E165" s="7">
        <v>0.94</v>
      </c>
      <c r="F165" s="7">
        <v>9.5</v>
      </c>
    </row>
    <row r="166" spans="1:6">
      <c r="E166" s="7">
        <v>0.95</v>
      </c>
      <c r="F166" s="7">
        <v>11.25</v>
      </c>
    </row>
    <row r="167" spans="1:6">
      <c r="A167" s="7">
        <v>11</v>
      </c>
      <c r="E167" s="7">
        <v>1.0900000000000001</v>
      </c>
      <c r="F167" s="7">
        <v>16.75</v>
      </c>
    </row>
    <row r="168" spans="1:6">
      <c r="E168" s="7">
        <v>1.4</v>
      </c>
      <c r="F168" s="7">
        <v>22</v>
      </c>
    </row>
    <row r="169" spans="1:6">
      <c r="C169" s="7">
        <v>1.22</v>
      </c>
      <c r="D169" s="7">
        <v>12</v>
      </c>
      <c r="E169" s="7">
        <v>1.24</v>
      </c>
      <c r="F169" s="7">
        <v>19.75</v>
      </c>
    </row>
    <row r="170" spans="1:6">
      <c r="A170" s="7">
        <v>12</v>
      </c>
      <c r="D170" s="7">
        <v>11.75</v>
      </c>
      <c r="E170" s="7">
        <v>1.24</v>
      </c>
      <c r="F170" s="7">
        <v>22</v>
      </c>
    </row>
    <row r="171" spans="1:6">
      <c r="D171" s="7">
        <v>12</v>
      </c>
      <c r="E171" s="7">
        <v>1.05</v>
      </c>
      <c r="F171" s="7">
        <v>19.63</v>
      </c>
    </row>
    <row r="172" spans="1:6">
      <c r="D172" s="7">
        <v>10.75</v>
      </c>
      <c r="E172" s="7">
        <v>1.02</v>
      </c>
      <c r="F172" s="7">
        <v>21.25</v>
      </c>
    </row>
    <row r="173" spans="1:6">
      <c r="A173" s="7">
        <v>1800</v>
      </c>
      <c r="E173" s="7">
        <v>1</v>
      </c>
      <c r="F173" s="7">
        <v>18.63</v>
      </c>
    </row>
    <row r="174" spans="1:6">
      <c r="E174" s="7">
        <v>1.03</v>
      </c>
      <c r="F174" s="7">
        <v>18.88</v>
      </c>
    </row>
    <row r="175" spans="1:6">
      <c r="E175" s="7">
        <v>1.04</v>
      </c>
      <c r="F175" s="7">
        <v>18.3</v>
      </c>
    </row>
    <row r="176" spans="1:6">
      <c r="A176" s="7">
        <v>2</v>
      </c>
      <c r="E176" s="7">
        <v>1.07</v>
      </c>
      <c r="F176" s="7">
        <v>18.5</v>
      </c>
    </row>
    <row r="177" spans="1:6">
      <c r="E177" s="7">
        <v>1.08</v>
      </c>
      <c r="F177" s="7">
        <v>19.13</v>
      </c>
    </row>
    <row r="178" spans="1:6">
      <c r="E178" s="7">
        <v>1.1499999999999999</v>
      </c>
      <c r="F178" s="7">
        <v>20.75</v>
      </c>
    </row>
    <row r="179" spans="1:6">
      <c r="A179" s="7">
        <v>3</v>
      </c>
      <c r="E179" s="7">
        <v>1.2</v>
      </c>
      <c r="F179" s="7">
        <v>20.88</v>
      </c>
    </row>
    <row r="180" spans="1:6">
      <c r="F180" s="7">
        <v>22.25</v>
      </c>
    </row>
    <row r="181" spans="1:6">
      <c r="F181" s="7">
        <v>23.75</v>
      </c>
    </row>
    <row r="182" spans="1:6">
      <c r="A182" s="7">
        <v>4</v>
      </c>
      <c r="F182" s="7">
        <v>20.5</v>
      </c>
    </row>
    <row r="183" spans="1:6">
      <c r="F183" s="7">
        <v>18.88</v>
      </c>
    </row>
    <row r="184" spans="1:6">
      <c r="F184" s="7">
        <v>20.5</v>
      </c>
    </row>
    <row r="185" spans="1:6">
      <c r="A185" s="7">
        <v>5</v>
      </c>
      <c r="F185" s="7">
        <v>23</v>
      </c>
    </row>
    <row r="186" spans="1:6">
      <c r="F186" s="7">
        <v>23.75</v>
      </c>
    </row>
    <row r="187" spans="1:6">
      <c r="F187" s="7">
        <v>27.75</v>
      </c>
    </row>
    <row r="188" spans="1:6">
      <c r="A188" s="7">
        <v>6</v>
      </c>
      <c r="F188" s="7">
        <v>32</v>
      </c>
    </row>
    <row r="189" spans="1:6">
      <c r="F189" s="7">
        <v>30</v>
      </c>
    </row>
    <row r="190" spans="1:6">
      <c r="F190" s="7">
        <v>33.880000000000003</v>
      </c>
    </row>
    <row r="191" spans="1:6">
      <c r="A191" s="7">
        <v>7</v>
      </c>
      <c r="F191" s="7">
        <v>30.88</v>
      </c>
    </row>
    <row r="192" spans="1:6">
      <c r="F192" s="7">
        <v>33.130000000000003</v>
      </c>
    </row>
    <row r="193" spans="1:6">
      <c r="F193" s="7">
        <v>35.5</v>
      </c>
    </row>
    <row r="194" spans="1:6">
      <c r="A194" s="7">
        <v>8</v>
      </c>
      <c r="F194" s="7">
        <v>36</v>
      </c>
    </row>
    <row r="195" spans="1:6">
      <c r="F195" s="7">
        <v>36.75</v>
      </c>
    </row>
    <row r="196" spans="1:6">
      <c r="F196" s="7">
        <v>32</v>
      </c>
    </row>
    <row r="197" spans="1:6">
      <c r="A197" s="7">
        <v>9</v>
      </c>
      <c r="F197" s="7">
        <v>32.5</v>
      </c>
    </row>
    <row r="198" spans="1:6">
      <c r="F198" s="7">
        <v>36.5</v>
      </c>
    </row>
    <row r="199" spans="1:6">
      <c r="F199" s="7">
        <v>35.75</v>
      </c>
    </row>
    <row r="200" spans="1:6">
      <c r="A200" s="7">
        <v>10</v>
      </c>
      <c r="F200" s="7">
        <v>36.75</v>
      </c>
    </row>
    <row r="201" spans="1:6">
      <c r="F201" s="7">
        <v>36.5</v>
      </c>
    </row>
    <row r="202" spans="1:6">
      <c r="F202" s="7">
        <v>36.130000000000003</v>
      </c>
    </row>
    <row r="203" spans="1:6">
      <c r="A203" s="7">
        <v>11</v>
      </c>
      <c r="F203" s="7">
        <v>34.630000000000003</v>
      </c>
    </row>
    <row r="204" spans="1:6">
      <c r="F204" s="7">
        <v>31.75</v>
      </c>
    </row>
    <row r="205" spans="1:6">
      <c r="F205" s="7">
        <v>33.880000000000003</v>
      </c>
    </row>
    <row r="206" spans="1:6">
      <c r="A206" s="7">
        <v>12</v>
      </c>
      <c r="F206" s="7">
        <v>36.799999999999997</v>
      </c>
    </row>
    <row r="207" spans="1:6">
      <c r="F207" s="7">
        <v>37.380000000000003</v>
      </c>
    </row>
    <row r="208" spans="1:6">
      <c r="F208" s="7">
        <v>47</v>
      </c>
    </row>
    <row r="209" spans="1:6">
      <c r="A209" s="7">
        <v>1801</v>
      </c>
      <c r="F209" s="7">
        <v>51.25</v>
      </c>
    </row>
    <row r="210" spans="1:6">
      <c r="F210" s="7">
        <v>55.25</v>
      </c>
    </row>
    <row r="211" spans="1:6">
      <c r="F211" s="7">
        <v>58.75</v>
      </c>
    </row>
    <row r="212" spans="1:6">
      <c r="A212" s="7">
        <v>2</v>
      </c>
      <c r="F212" s="7">
        <v>62.63</v>
      </c>
    </row>
    <row r="213" spans="1:6">
      <c r="F213" s="7">
        <v>59</v>
      </c>
    </row>
    <row r="214" spans="1:6">
      <c r="F214" s="7">
        <v>55</v>
      </c>
    </row>
    <row r="215" spans="1:6">
      <c r="A215" s="7">
        <v>3</v>
      </c>
      <c r="F215" s="7">
        <v>54.5</v>
      </c>
    </row>
    <row r="216" spans="1:6">
      <c r="F216" s="7">
        <v>52</v>
      </c>
    </row>
    <row r="217" spans="1:6">
      <c r="F217" s="7">
        <v>57</v>
      </c>
    </row>
    <row r="218" spans="1:6">
      <c r="A218" s="7">
        <v>4</v>
      </c>
      <c r="F218" s="7">
        <v>55.63</v>
      </c>
    </row>
    <row r="219" spans="1:6">
      <c r="F219" s="7">
        <v>54.13</v>
      </c>
    </row>
    <row r="220" spans="1:6">
      <c r="F220" s="7">
        <v>54.88</v>
      </c>
    </row>
    <row r="221" spans="1:6">
      <c r="A221" s="7">
        <v>5</v>
      </c>
      <c r="F221" s="7">
        <v>54</v>
      </c>
    </row>
    <row r="222" spans="1:6">
      <c r="F222" s="7">
        <v>52.63</v>
      </c>
    </row>
    <row r="223" spans="1:6">
      <c r="F223" s="7">
        <v>49.5</v>
      </c>
    </row>
    <row r="224" spans="1:6">
      <c r="A224" s="7">
        <v>6</v>
      </c>
      <c r="F224" s="7">
        <v>49</v>
      </c>
    </row>
    <row r="225" spans="1:6">
      <c r="F225" s="7">
        <v>48.63</v>
      </c>
    </row>
    <row r="226" spans="1:6">
      <c r="F226" s="7">
        <v>47.63</v>
      </c>
    </row>
    <row r="227" spans="1:6">
      <c r="A227" s="7">
        <v>7</v>
      </c>
      <c r="F227" s="7">
        <v>42</v>
      </c>
    </row>
    <row r="228" spans="1:6">
      <c r="F228" s="7">
        <v>43.75</v>
      </c>
    </row>
    <row r="229" spans="1:6">
      <c r="F229" s="7">
        <v>42.75</v>
      </c>
    </row>
    <row r="230" spans="1:6">
      <c r="A230" s="7">
        <v>8</v>
      </c>
      <c r="F230" s="7">
        <v>41.58</v>
      </c>
    </row>
    <row r="231" spans="1:6">
      <c r="F231" s="7">
        <v>43.75</v>
      </c>
    </row>
    <row r="232" spans="1:6">
      <c r="F232" s="7">
        <v>48.75</v>
      </c>
    </row>
    <row r="233" spans="1:6">
      <c r="A233" s="7">
        <v>9</v>
      </c>
      <c r="F233" s="7">
        <v>48.5</v>
      </c>
    </row>
    <row r="234" spans="1:6">
      <c r="F234" s="7">
        <v>46.5</v>
      </c>
    </row>
    <row r="235" spans="1:6">
      <c r="F235" s="7">
        <v>54.5</v>
      </c>
    </row>
    <row r="236" spans="1:6">
      <c r="A236" s="7">
        <v>10</v>
      </c>
      <c r="F236" s="7">
        <v>56.25</v>
      </c>
    </row>
    <row r="237" spans="1:6">
      <c r="F237" s="7">
        <v>63.05</v>
      </c>
    </row>
    <row r="238" spans="1:6">
      <c r="F238" s="7">
        <v>60.75</v>
      </c>
    </row>
    <row r="239" spans="1:6">
      <c r="A239" s="7">
        <v>11</v>
      </c>
      <c r="F239" s="7">
        <v>56.5</v>
      </c>
    </row>
    <row r="240" spans="1:6">
      <c r="F240" s="7">
        <v>54</v>
      </c>
    </row>
    <row r="241" spans="1:6">
      <c r="F241" s="7">
        <v>55.75</v>
      </c>
    </row>
    <row r="242" spans="1:6">
      <c r="A242" s="7">
        <v>12</v>
      </c>
      <c r="F242" s="7">
        <v>53.4</v>
      </c>
    </row>
    <row r="243" spans="1:6">
      <c r="F243" s="7">
        <v>53.75</v>
      </c>
    </row>
    <row r="244" spans="1:6">
      <c r="F244" s="7">
        <v>54</v>
      </c>
    </row>
    <row r="245" spans="1:6">
      <c r="A245" s="7">
        <v>1802</v>
      </c>
      <c r="F245" s="7">
        <v>54.6</v>
      </c>
    </row>
    <row r="246" spans="1:6">
      <c r="F246" s="7">
        <v>57.15</v>
      </c>
    </row>
    <row r="247" spans="1:6">
      <c r="F247" s="7">
        <v>56.9</v>
      </c>
    </row>
    <row r="248" spans="1:6">
      <c r="A248" s="7">
        <v>2</v>
      </c>
      <c r="F248" s="7">
        <v>57.6</v>
      </c>
    </row>
    <row r="249" spans="1:6">
      <c r="F249" s="7">
        <v>56.85</v>
      </c>
    </row>
    <row r="250" spans="1:6">
      <c r="F250" s="7">
        <v>57.05</v>
      </c>
    </row>
    <row r="251" spans="1:6">
      <c r="A251" s="7">
        <v>3</v>
      </c>
      <c r="F251" s="7">
        <v>57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9"/>
  <sheetViews>
    <sheetView workbookViewId="0">
      <selection activeCell="C18" sqref="C18"/>
    </sheetView>
  </sheetViews>
  <sheetFormatPr defaultRowHeight="15"/>
  <cols>
    <col min="1" max="1" width="5" style="2" bestFit="1" customWidth="1"/>
  </cols>
  <sheetData>
    <row r="1" spans="1:4">
      <c r="B1" t="s">
        <v>51</v>
      </c>
      <c r="C1" t="s">
        <v>320</v>
      </c>
      <c r="D1" t="s">
        <v>321</v>
      </c>
    </row>
    <row r="3" spans="1:4">
      <c r="A3" s="2">
        <v>5</v>
      </c>
    </row>
    <row r="4" spans="1:4">
      <c r="A4" s="2">
        <v>6</v>
      </c>
    </row>
    <row r="5" spans="1:4">
      <c r="A5" s="2">
        <v>7</v>
      </c>
    </row>
    <row r="6" spans="1:4">
      <c r="A6" s="2">
        <v>8</v>
      </c>
    </row>
    <row r="7" spans="1:4">
      <c r="A7" s="2">
        <v>9</v>
      </c>
    </row>
    <row r="8" spans="1:4">
      <c r="A8" s="2">
        <v>10</v>
      </c>
    </row>
    <row r="9" spans="1:4">
      <c r="A9" s="2">
        <v>11</v>
      </c>
      <c r="B9">
        <f>+Data!L5</f>
        <v>90</v>
      </c>
      <c r="C9">
        <f>+B9+Data!K5</f>
        <v>90</v>
      </c>
      <c r="D9">
        <f t="shared" ref="D9:D20" si="0">+B9</f>
        <v>90</v>
      </c>
    </row>
    <row r="10" spans="1:4">
      <c r="A10" s="2">
        <v>12</v>
      </c>
      <c r="B10">
        <f>+Data!L6</f>
        <v>105</v>
      </c>
      <c r="C10">
        <f>+B10+Data!K6</f>
        <v>105</v>
      </c>
      <c r="D10">
        <f t="shared" si="0"/>
        <v>105</v>
      </c>
    </row>
    <row r="11" spans="1:4">
      <c r="A11" s="2">
        <v>1790</v>
      </c>
      <c r="B11">
        <f>+Data!L7</f>
        <v>124</v>
      </c>
      <c r="C11">
        <f>+B11+Data!K7</f>
        <v>124</v>
      </c>
      <c r="D11">
        <f t="shared" si="0"/>
        <v>124</v>
      </c>
    </row>
    <row r="12" spans="1:4">
      <c r="A12" s="2">
        <v>2</v>
      </c>
      <c r="B12">
        <f>+Data!L8</f>
        <v>142</v>
      </c>
      <c r="C12">
        <f>+B12+Data!K8</f>
        <v>142</v>
      </c>
      <c r="D12">
        <f t="shared" si="0"/>
        <v>142</v>
      </c>
    </row>
    <row r="13" spans="1:4">
      <c r="A13" s="2">
        <v>3</v>
      </c>
      <c r="B13">
        <f>+Data!L9</f>
        <v>170</v>
      </c>
      <c r="C13">
        <f>+B13+Data!K9</f>
        <v>170</v>
      </c>
      <c r="D13">
        <f t="shared" si="0"/>
        <v>170</v>
      </c>
    </row>
    <row r="14" spans="1:4">
      <c r="A14" s="2">
        <v>4</v>
      </c>
      <c r="B14">
        <f>+Data!L10</f>
        <v>190.23749999999998</v>
      </c>
      <c r="C14">
        <f>+B14+Data!K10</f>
        <v>190.23749999999998</v>
      </c>
      <c r="D14">
        <f t="shared" si="0"/>
        <v>190.23749999999998</v>
      </c>
    </row>
    <row r="15" spans="1:4">
      <c r="A15" s="2">
        <v>5</v>
      </c>
      <c r="B15">
        <f>+Data!L11</f>
        <v>212.79499999999999</v>
      </c>
      <c r="C15">
        <f>+B15+Data!K11</f>
        <v>212.79499999999999</v>
      </c>
      <c r="D15">
        <f t="shared" si="0"/>
        <v>212.79499999999999</v>
      </c>
    </row>
    <row r="16" spans="1:4">
      <c r="A16" s="2">
        <v>6</v>
      </c>
      <c r="B16">
        <f>+Data!L12</f>
        <v>258.60625000000005</v>
      </c>
      <c r="C16">
        <f>+B16+Data!K12</f>
        <v>258.60625000000005</v>
      </c>
      <c r="D16">
        <f t="shared" si="0"/>
        <v>258.60625000000005</v>
      </c>
    </row>
    <row r="17" spans="1:5">
      <c r="A17" s="2">
        <v>7</v>
      </c>
      <c r="B17">
        <f>+Data!L13</f>
        <v>307.66874999999999</v>
      </c>
      <c r="C17">
        <f>+B17+Data!K13</f>
        <v>307.66874999999999</v>
      </c>
      <c r="D17">
        <f t="shared" si="0"/>
        <v>307.66874999999999</v>
      </c>
    </row>
    <row r="18" spans="1:5">
      <c r="A18" s="2">
        <v>8</v>
      </c>
      <c r="B18">
        <f>+Data!L14</f>
        <v>348.88124999999997</v>
      </c>
      <c r="C18">
        <f>+B18+Data!K14</f>
        <v>348.88124999999997</v>
      </c>
      <c r="D18">
        <f t="shared" si="0"/>
        <v>348.88124999999997</v>
      </c>
    </row>
    <row r="19" spans="1:5">
      <c r="A19" s="2">
        <v>9</v>
      </c>
      <c r="B19">
        <f>+Data!L15</f>
        <v>390.29374999999999</v>
      </c>
      <c r="C19">
        <f>+B19+Data!K15</f>
        <v>390.29374999999999</v>
      </c>
      <c r="D19">
        <f t="shared" si="0"/>
        <v>390.29374999999999</v>
      </c>
    </row>
    <row r="20" spans="1:5">
      <c r="A20" s="2">
        <v>10</v>
      </c>
      <c r="B20">
        <f>+Data!L16</f>
        <v>437.09499999999991</v>
      </c>
      <c r="C20">
        <f>+B20+Data!K16</f>
        <v>437.09499999999991</v>
      </c>
      <c r="D20">
        <f t="shared" si="0"/>
        <v>437.09499999999991</v>
      </c>
    </row>
    <row r="21" spans="1:5">
      <c r="A21" s="2">
        <v>11</v>
      </c>
      <c r="B21">
        <f>+Data!L17</f>
        <v>485.09500000000003</v>
      </c>
      <c r="C21">
        <f>+B21+Data!K17</f>
        <v>485.09500000000003</v>
      </c>
      <c r="D21">
        <f>+B21</f>
        <v>485.09500000000003</v>
      </c>
    </row>
    <row r="22" spans="1:5">
      <c r="A22" s="2">
        <v>12</v>
      </c>
      <c r="B22">
        <f>+Data!L18</f>
        <v>529.09500000000003</v>
      </c>
      <c r="C22">
        <f>+B22+Data!K18</f>
        <v>530.09500000000003</v>
      </c>
      <c r="D22">
        <f>+Data!G18</f>
        <v>529.09500000000003</v>
      </c>
    </row>
    <row r="23" spans="1:5">
      <c r="A23" s="2">
        <v>1791</v>
      </c>
      <c r="B23">
        <f>+Data!L19</f>
        <v>627.50545099999999</v>
      </c>
      <c r="C23">
        <f>+B23+Data!K19</f>
        <v>631.50545099999999</v>
      </c>
      <c r="D23">
        <f>+Data!G19</f>
        <v>528.28318200000001</v>
      </c>
      <c r="E23">
        <f>+Data!F19</f>
        <v>45.637872000000002</v>
      </c>
    </row>
    <row r="24" spans="1:5">
      <c r="A24" s="2">
        <v>2</v>
      </c>
      <c r="B24">
        <f>+Data!L20</f>
        <v>724.05441899999994</v>
      </c>
      <c r="C24">
        <f>+B24+Data!K20</f>
        <v>739.05441899999994</v>
      </c>
      <c r="D24">
        <f>+Data!G20</f>
        <v>649.694613</v>
      </c>
      <c r="E24">
        <f>+Data!F20</f>
        <v>71.905840999999995</v>
      </c>
    </row>
    <row r="25" spans="1:5">
      <c r="A25" s="2">
        <v>3</v>
      </c>
      <c r="B25">
        <f>+Data!L21</f>
        <v>809.87088100000005</v>
      </c>
      <c r="C25">
        <f>+B25+Data!K21</f>
        <v>851.87088100000005</v>
      </c>
      <c r="D25">
        <f>+Data!G21</f>
        <v>777.06423900000004</v>
      </c>
      <c r="E25">
        <f>+Data!F21</f>
        <v>135.31730200000001</v>
      </c>
    </row>
    <row r="26" spans="1:5">
      <c r="A26" s="2">
        <v>4</v>
      </c>
      <c r="B26">
        <f>+Data!L22</f>
        <v>899.44114200000001</v>
      </c>
      <c r="C26">
        <f>+B26+Data!K22</f>
        <v>989.44114200000001</v>
      </c>
      <c r="D26">
        <f>+Data!G22</f>
        <v>925.97012400000006</v>
      </c>
      <c r="E26">
        <f>+Data!F22</f>
        <v>217.887565</v>
      </c>
    </row>
    <row r="27" spans="1:5">
      <c r="A27" s="2">
        <v>5</v>
      </c>
      <c r="B27">
        <f>+Data!L23</f>
        <v>986.32757200000003</v>
      </c>
      <c r="C27">
        <f>+B27+Data!K23</f>
        <v>1115.3275720000001</v>
      </c>
      <c r="D27">
        <f>+Data!G23</f>
        <v>1060.715273</v>
      </c>
      <c r="E27">
        <f>+Data!F23</f>
        <v>298.23261100000002</v>
      </c>
    </row>
    <row r="28" spans="1:5">
      <c r="A28" s="2">
        <v>6</v>
      </c>
      <c r="B28">
        <f>+Data!L24</f>
        <v>1042.8882189999999</v>
      </c>
      <c r="C28">
        <f>+B28+Data!K24</f>
        <v>1212.8882189999999</v>
      </c>
      <c r="D28">
        <f>+Data!G24</f>
        <v>1164.7693039999999</v>
      </c>
      <c r="E28">
        <f>+Data!F24</f>
        <v>346.33861000000002</v>
      </c>
    </row>
    <row r="29" spans="1:5">
      <c r="A29" s="2">
        <v>7</v>
      </c>
      <c r="B29">
        <f>+Data!L25</f>
        <v>1110.820712</v>
      </c>
      <c r="C29">
        <f>+B29+Data!K25</f>
        <v>1325.820712</v>
      </c>
      <c r="D29">
        <f>+Data!G25</f>
        <v>1283.273226</v>
      </c>
      <c r="E29">
        <f>+Data!F25</f>
        <v>396.76992899999999</v>
      </c>
    </row>
    <row r="30" spans="1:5">
      <c r="A30" s="2">
        <v>8</v>
      </c>
      <c r="B30">
        <f>+Data!L26</f>
        <v>1164.4646990000001</v>
      </c>
      <c r="C30">
        <f>+B30+Data!K26</f>
        <v>1410.4646990000001</v>
      </c>
      <c r="D30">
        <f>+Data!G26</f>
        <v>1372.5853050000001</v>
      </c>
      <c r="E30">
        <f>+Data!F26</f>
        <v>452.19841600000001</v>
      </c>
    </row>
    <row r="31" spans="1:5">
      <c r="A31" s="2">
        <v>9</v>
      </c>
      <c r="B31">
        <f>+Data!L27</f>
        <v>1201.988075</v>
      </c>
      <c r="C31">
        <f>+B31+Data!K27</f>
        <v>1485.988075</v>
      </c>
      <c r="D31">
        <f>+Data!G27</f>
        <v>1453.131625</v>
      </c>
      <c r="E31">
        <f>+Data!F27</f>
        <v>501.69647500000002</v>
      </c>
    </row>
    <row r="32" spans="1:5">
      <c r="A32" s="2">
        <v>10</v>
      </c>
      <c r="B32">
        <f>+Data!L28</f>
        <v>1301.2797989999999</v>
      </c>
      <c r="C32">
        <f>+B32+Data!K28</f>
        <v>1613.2797989999999</v>
      </c>
      <c r="D32">
        <f>+Data!G28</f>
        <v>1584.0753139999999</v>
      </c>
      <c r="E32">
        <f>+Data!F28</f>
        <v>554.15706299999999</v>
      </c>
    </row>
    <row r="33" spans="1:5">
      <c r="A33" s="2">
        <v>11</v>
      </c>
      <c r="B33">
        <f>+Data!L29</f>
        <v>1368.218523</v>
      </c>
      <c r="C33">
        <f>+B33+Data!K29</f>
        <v>1705.218523</v>
      </c>
      <c r="D33">
        <f>+Data!G29</f>
        <v>1678.9204689999999</v>
      </c>
      <c r="E33">
        <f>+Data!F29</f>
        <v>595.67296399999998</v>
      </c>
    </row>
    <row r="34" spans="1:5">
      <c r="A34" s="2">
        <v>12</v>
      </c>
      <c r="B34">
        <f>+Data!L30</f>
        <v>1395.8973970000002</v>
      </c>
      <c r="C34">
        <f>+B34+Data!K30</f>
        <v>1764.8973970000002</v>
      </c>
      <c r="D34">
        <f>+Data!G30</f>
        <v>1742.2393400000001</v>
      </c>
      <c r="E34">
        <f>+Data!F30</f>
        <v>643.10180300000002</v>
      </c>
    </row>
    <row r="35" spans="1:5">
      <c r="A35" s="2">
        <v>1792</v>
      </c>
      <c r="B35">
        <f>+Data!L31</f>
        <v>1462.259131</v>
      </c>
      <c r="C35">
        <f>+B35+Data!K31</f>
        <v>1853.259131</v>
      </c>
      <c r="D35">
        <f>+Data!G31</f>
        <v>1833.326243</v>
      </c>
      <c r="E35">
        <f>+Data!F31</f>
        <v>668.72764299999994</v>
      </c>
    </row>
    <row r="36" spans="1:5">
      <c r="A36" s="2">
        <v>2</v>
      </c>
      <c r="B36">
        <f>+Data!L32</f>
        <v>1531.047599</v>
      </c>
      <c r="C36">
        <f>+B36+Data!K32</f>
        <v>1949.047599</v>
      </c>
      <c r="D36">
        <f>+Data!G32</f>
        <v>1931.9108960000001</v>
      </c>
      <c r="E36">
        <f>+Data!F32</f>
        <v>697.90500599999996</v>
      </c>
    </row>
    <row r="37" spans="1:5">
      <c r="A37" s="2">
        <v>3</v>
      </c>
      <c r="B37">
        <f>+Data!L33</f>
        <v>1571.754592</v>
      </c>
      <c r="C37">
        <f>+B37+Data!K33</f>
        <v>2028.754592</v>
      </c>
      <c r="D37">
        <f>+Data!G33</f>
        <v>2014.0517580000001</v>
      </c>
      <c r="E37">
        <f>+Data!F33</f>
        <v>728.04466500000001</v>
      </c>
    </row>
    <row r="38" spans="1:5">
      <c r="A38" s="2">
        <v>4</v>
      </c>
      <c r="B38">
        <f>+Data!L34</f>
        <v>1623.2049820000002</v>
      </c>
      <c r="C38">
        <f>+B38+Data!K34</f>
        <v>2110.2049820000002</v>
      </c>
      <c r="D38">
        <f>+Data!G34</f>
        <v>2097.3173510000001</v>
      </c>
      <c r="E38">
        <f>+Data!F34</f>
        <v>755.67026099999998</v>
      </c>
    </row>
    <row r="39" spans="1:5">
      <c r="A39" s="2">
        <v>5</v>
      </c>
      <c r="B39">
        <f>+Data!L35</f>
        <v>1694.7878330000003</v>
      </c>
      <c r="C39">
        <f>+B39+Data!K35</f>
        <v>2217.7878330000003</v>
      </c>
      <c r="D39">
        <f>+Data!G35</f>
        <v>2206.9192440000002</v>
      </c>
      <c r="E39">
        <f>+Data!F35</f>
        <v>778.22533299999998</v>
      </c>
    </row>
    <row r="40" spans="1:5">
      <c r="A40" s="2">
        <v>6</v>
      </c>
      <c r="B40">
        <f>+Data!L36</f>
        <v>1724.4592439999999</v>
      </c>
      <c r="C40">
        <f>+B40+Data!K36</f>
        <v>2285.4592439999997</v>
      </c>
      <c r="D40">
        <f>+Data!G36</f>
        <v>2276.0173279999999</v>
      </c>
      <c r="E40">
        <f>+Data!F36</f>
        <v>783.58293700000002</v>
      </c>
    </row>
    <row r="41" spans="1:5">
      <c r="A41" s="2">
        <v>7</v>
      </c>
      <c r="B41">
        <f>+Data!L37</f>
        <v>1767.5510880000002</v>
      </c>
      <c r="C41">
        <f>+B41+Data!K37</f>
        <v>2354.5510880000002</v>
      </c>
      <c r="D41">
        <f>+Data!G37</f>
        <v>2345.8127720000002</v>
      </c>
      <c r="E41">
        <f>+Data!F37</f>
        <v>790.95552699999996</v>
      </c>
    </row>
    <row r="42" spans="1:5">
      <c r="A42" s="2">
        <v>8</v>
      </c>
      <c r="B42">
        <f>+Data!L38</f>
        <v>1834.2919999999999</v>
      </c>
      <c r="C42">
        <f>+B42+Data!K38</f>
        <v>2441.2919999999999</v>
      </c>
      <c r="D42">
        <f>+Data!G38</f>
        <v>2441.2919999999999</v>
      </c>
    </row>
    <row r="43" spans="1:5">
      <c r="A43" s="2">
        <v>9</v>
      </c>
      <c r="B43">
        <f>+Data!L39</f>
        <v>1950.9169999999999</v>
      </c>
      <c r="C43">
        <f>+B43+Data!K39</f>
        <v>2570.9169999999999</v>
      </c>
      <c r="D43">
        <f>+Data!G39</f>
        <v>2492.3311779999999</v>
      </c>
      <c r="E43">
        <f>+Data!F39</f>
        <v>797.87163499999997</v>
      </c>
    </row>
    <row r="44" spans="1:5">
      <c r="A44" s="2">
        <v>10</v>
      </c>
      <c r="B44">
        <f>+Data!L40</f>
        <v>2062.232</v>
      </c>
      <c r="C44">
        <f>+B44+Data!K40</f>
        <v>2702.232</v>
      </c>
      <c r="D44">
        <f>+Data!G40</f>
        <v>2702.232</v>
      </c>
    </row>
    <row r="45" spans="1:5">
      <c r="A45" s="2">
        <v>11</v>
      </c>
      <c r="B45">
        <f>+Data!L41</f>
        <v>2172.5</v>
      </c>
      <c r="C45">
        <f>+B45+Data!K41</f>
        <v>2825.5</v>
      </c>
      <c r="D45">
        <f>+Data!G41</f>
        <v>2825.5</v>
      </c>
    </row>
    <row r="46" spans="1:5">
      <c r="A46" s="2">
        <v>12</v>
      </c>
      <c r="B46">
        <f>+Data!L42</f>
        <v>2206.6010000000001</v>
      </c>
      <c r="C46">
        <f>+B46+Data!K42</f>
        <v>2867.6010000000001</v>
      </c>
      <c r="D46">
        <f>+Data!G42</f>
        <v>2867.6010000000001</v>
      </c>
      <c r="E46">
        <f>+Data!F42</f>
        <v>814.66781600000002</v>
      </c>
    </row>
    <row r="47" spans="1:5">
      <c r="A47" s="2">
        <v>1793</v>
      </c>
      <c r="B47">
        <f>+Data!L43</f>
        <v>2387.46</v>
      </c>
      <c r="C47">
        <f>+B47+Data!K43</f>
        <v>3069.46</v>
      </c>
      <c r="D47">
        <f>+Data!G43</f>
        <v>3069.46</v>
      </c>
      <c r="E47">
        <f>+Data!F43</f>
        <v>817.57173799999998</v>
      </c>
    </row>
    <row r="48" spans="1:5">
      <c r="A48" s="2">
        <v>2</v>
      </c>
      <c r="B48">
        <f>+Data!L44</f>
        <v>2514.1970000000001</v>
      </c>
      <c r="C48">
        <f>+B48+Data!K44</f>
        <v>3212.1970000000001</v>
      </c>
      <c r="D48">
        <f>+Data!G44</f>
        <v>3212.1970000000001</v>
      </c>
      <c r="E48">
        <f>+Data!F44</f>
        <v>820.72987000000001</v>
      </c>
    </row>
    <row r="49" spans="1:5">
      <c r="A49" s="2">
        <v>3</v>
      </c>
      <c r="B49">
        <f>+Data!L45</f>
        <v>2700.1260000000002</v>
      </c>
      <c r="C49">
        <f>+B49+Data!K45</f>
        <v>3415.1260000000002</v>
      </c>
      <c r="D49">
        <f>+Data!G45</f>
        <v>3415.1260000000002</v>
      </c>
      <c r="E49">
        <f>+Data!F45</f>
        <v>828.46545600000002</v>
      </c>
    </row>
    <row r="50" spans="1:5">
      <c r="A50" s="2">
        <v>4</v>
      </c>
      <c r="B50">
        <f>+Data!L46</f>
        <v>2945.5149999999999</v>
      </c>
      <c r="C50">
        <f>+B50+Data!K46</f>
        <v>3678.5149999999999</v>
      </c>
      <c r="D50">
        <f>+Data!G46</f>
        <v>3678.5149999999999</v>
      </c>
      <c r="E50">
        <f>+Data!F46</f>
        <v>836.07845600000007</v>
      </c>
    </row>
    <row r="51" spans="1:5">
      <c r="A51" s="2">
        <v>5</v>
      </c>
      <c r="B51">
        <f>+Data!L47</f>
        <v>3184.0479999999998</v>
      </c>
      <c r="C51">
        <f>+B51+Data!K47</f>
        <v>3940.0479999999998</v>
      </c>
      <c r="D51">
        <f>+Data!G47</f>
        <v>3940.0479999999998</v>
      </c>
      <c r="E51">
        <f>+Data!F47</f>
        <v>840.95102300000008</v>
      </c>
    </row>
    <row r="52" spans="1:5">
      <c r="A52" s="2">
        <v>6</v>
      </c>
      <c r="B52">
        <f>+Data!L48</f>
        <v>3468.6120000000001</v>
      </c>
      <c r="C52">
        <f>+B52+Data!K48</f>
        <v>4260.6120000000001</v>
      </c>
      <c r="D52">
        <f>+Data!G48</f>
        <v>4260.6120000000001</v>
      </c>
      <c r="E52">
        <f>+Data!F48</f>
        <v>844.97824900000012</v>
      </c>
    </row>
    <row r="53" spans="1:5">
      <c r="A53" s="2">
        <v>7</v>
      </c>
      <c r="B53">
        <f>+Data!L49</f>
        <v>3642.4850000000001</v>
      </c>
      <c r="C53">
        <f>+B53+Data!K49</f>
        <v>4463.4850000000006</v>
      </c>
      <c r="D53">
        <f>+Data!G49</f>
        <v>4463.4850000000006</v>
      </c>
      <c r="E53">
        <f>+Data!F49</f>
        <v>848.96885500000008</v>
      </c>
    </row>
    <row r="54" spans="1:5">
      <c r="A54" s="2">
        <v>8</v>
      </c>
      <c r="B54">
        <f>+Data!L50</f>
        <v>3865.723</v>
      </c>
      <c r="C54">
        <f>+B54+Data!K50</f>
        <v>4721.723</v>
      </c>
      <c r="D54">
        <f>+Data!G50</f>
        <v>4721.723</v>
      </c>
      <c r="E54">
        <f>+Data!F50</f>
        <v>850.58892600000013</v>
      </c>
    </row>
    <row r="55" spans="1:5">
      <c r="A55" s="2">
        <v>9</v>
      </c>
      <c r="B55">
        <f>+Data!L51</f>
        <v>4242.9229999999998</v>
      </c>
      <c r="C55">
        <f>+B55+Data!K51</f>
        <v>5126.9229999999998</v>
      </c>
      <c r="D55">
        <f>+Data!G51</f>
        <v>5126.9229999999998</v>
      </c>
      <c r="E55">
        <f>+Data!F51</f>
        <v>851.17585700000018</v>
      </c>
    </row>
    <row r="56" spans="1:5">
      <c r="A56" s="2">
        <v>10</v>
      </c>
      <c r="B56">
        <f>+Data!L52</f>
        <v>4621.9009999999998</v>
      </c>
      <c r="C56">
        <f>+B56+Data!K52</f>
        <v>5534.9009999999998</v>
      </c>
      <c r="D56">
        <f>+Data!G52</f>
        <v>5534.9009999999998</v>
      </c>
      <c r="E56">
        <f>+Data!F52</f>
        <v>851.47634300000016</v>
      </c>
    </row>
    <row r="57" spans="1:5">
      <c r="A57" s="2">
        <v>11</v>
      </c>
      <c r="B57">
        <f>+Data!L53</f>
        <v>4769.5680000000002</v>
      </c>
      <c r="C57">
        <f>+B57+Data!K53</f>
        <v>5725.5680000000002</v>
      </c>
      <c r="D57">
        <f>+Data!G53</f>
        <v>5725.5680000000002</v>
      </c>
      <c r="E57">
        <f>+Data!F53</f>
        <v>851.83571400000017</v>
      </c>
    </row>
    <row r="58" spans="1:5">
      <c r="A58" s="2">
        <v>12</v>
      </c>
      <c r="B58">
        <f>+Data!L54</f>
        <v>5010.7910000000002</v>
      </c>
      <c r="C58">
        <f>+B58+Data!K54</f>
        <v>5996.7910000000002</v>
      </c>
      <c r="D58">
        <f>+Data!G54</f>
        <v>5996.7910000000002</v>
      </c>
      <c r="E58">
        <f>+Data!F54</f>
        <v>852.04046700000015</v>
      </c>
    </row>
    <row r="59" spans="1:5">
      <c r="A59" s="2">
        <v>1794</v>
      </c>
      <c r="B59">
        <f>+Data!L55</f>
        <v>5230.0559999999996</v>
      </c>
      <c r="C59">
        <f>+B59+Data!K55</f>
        <v>6277.0559999999996</v>
      </c>
      <c r="D59">
        <f>+Data!G55</f>
        <v>6277.0559999999996</v>
      </c>
      <c r="E59">
        <f>+Data!F55</f>
        <v>852.8353850000002</v>
      </c>
    </row>
    <row r="60" spans="1:5">
      <c r="A60" s="2">
        <v>2</v>
      </c>
      <c r="B60">
        <f>+Data!L56</f>
        <v>5403.6469999999999</v>
      </c>
      <c r="C60">
        <f>+B60+Data!K56</f>
        <v>6467.6469999999999</v>
      </c>
      <c r="D60">
        <f>+Data!G56</f>
        <v>6467.6469999999999</v>
      </c>
      <c r="E60">
        <f>+Data!F56</f>
        <v>853.67731000000015</v>
      </c>
    </row>
    <row r="61" spans="1:5">
      <c r="A61" s="2">
        <v>3</v>
      </c>
      <c r="B61">
        <f>+Data!L57</f>
        <v>5514.4960000000001</v>
      </c>
      <c r="C61">
        <f>+B61+Data!K57</f>
        <v>6613.4960000000001</v>
      </c>
      <c r="D61">
        <f>+Data!G57</f>
        <v>6613.4960000000001</v>
      </c>
      <c r="E61">
        <f>+Data!F57</f>
        <v>854.52054800000019</v>
      </c>
    </row>
    <row r="62" spans="1:5">
      <c r="A62" s="2">
        <v>4</v>
      </c>
      <c r="B62">
        <f>+Data!L58</f>
        <v>5705.6289999999999</v>
      </c>
      <c r="C62">
        <f>+B62+Data!K58</f>
        <v>6833.7430000000004</v>
      </c>
      <c r="D62">
        <f>+Data!G58</f>
        <v>6833.7430000000004</v>
      </c>
      <c r="E62">
        <f>+Data!F58</f>
        <v>855.75016400000015</v>
      </c>
    </row>
    <row r="63" spans="1:5">
      <c r="A63" s="2">
        <v>5</v>
      </c>
      <c r="B63">
        <f>+Data!L59</f>
        <v>5905.7686809999996</v>
      </c>
      <c r="C63">
        <f>+B63+Data!K59</f>
        <v>7087.3216809999994</v>
      </c>
      <c r="D63">
        <f>+Data!G59</f>
        <v>0</v>
      </c>
      <c r="E63">
        <f>+Data!F59</f>
        <v>0</v>
      </c>
    </row>
    <row r="64" spans="1:5">
      <c r="A64" s="2">
        <v>6</v>
      </c>
      <c r="B64">
        <f>+Data!L60</f>
        <v>6054.2978009999997</v>
      </c>
      <c r="C64">
        <f>+B64+Data!K60</f>
        <v>7311.7978009999997</v>
      </c>
      <c r="D64">
        <f>+Data!G60</f>
        <v>0</v>
      </c>
      <c r="E64">
        <f>+Data!F60</f>
        <v>0</v>
      </c>
    </row>
    <row r="65" spans="1:5">
      <c r="A65" s="2">
        <v>7</v>
      </c>
      <c r="B65">
        <f>+Data!L61</f>
        <v>6217.4556350000003</v>
      </c>
      <c r="C65">
        <f>+B65+Data!K61</f>
        <v>7549.9556350000003</v>
      </c>
      <c r="D65">
        <f>+Data!G61</f>
        <v>0</v>
      </c>
      <c r="E65">
        <f>+Data!F61</f>
        <v>0</v>
      </c>
    </row>
    <row r="66" spans="1:5">
      <c r="A66" s="2">
        <v>8</v>
      </c>
      <c r="B66">
        <f>+Data!L62</f>
        <v>6397.4857000000002</v>
      </c>
      <c r="C66">
        <f>+B66+Data!K62</f>
        <v>7791.9857000000002</v>
      </c>
      <c r="D66">
        <f>+Data!G62</f>
        <v>0</v>
      </c>
      <c r="E66">
        <f>+Data!F62</f>
        <v>0</v>
      </c>
    </row>
    <row r="67" spans="1:5">
      <c r="A67" s="2">
        <v>9</v>
      </c>
      <c r="B67">
        <f>+Data!L63</f>
        <v>6573.3643599999996</v>
      </c>
      <c r="C67">
        <f>+B67+Data!K63</f>
        <v>8023.8643599999996</v>
      </c>
      <c r="D67">
        <f>+Data!G63</f>
        <v>0</v>
      </c>
      <c r="E67">
        <f>+Data!F63</f>
        <v>0</v>
      </c>
    </row>
    <row r="68" spans="1:5">
      <c r="A68" s="2">
        <v>10</v>
      </c>
      <c r="B68">
        <f>+Data!L64</f>
        <v>6721.2518739999996</v>
      </c>
      <c r="C68">
        <f>+B68+Data!K64</f>
        <v>8238.4878740000004</v>
      </c>
      <c r="D68">
        <f>+Data!G64</f>
        <v>0</v>
      </c>
      <c r="E68">
        <f>+Data!F64</f>
        <v>0</v>
      </c>
    </row>
    <row r="69" spans="1:5">
      <c r="A69" s="2">
        <v>11</v>
      </c>
      <c r="B69">
        <f>+Data!L65</f>
        <v>6962.9857540000003</v>
      </c>
      <c r="C69">
        <f>+B69+Data!K65</f>
        <v>8499.9857540000012</v>
      </c>
      <c r="D69">
        <f>+Data!G65</f>
        <v>0</v>
      </c>
      <c r="E69">
        <f>+Data!F65</f>
        <v>0</v>
      </c>
    </row>
    <row r="70" spans="1:5">
      <c r="A70" s="2">
        <v>12</v>
      </c>
      <c r="B70">
        <f>+Data!L66</f>
        <v>7154.619256</v>
      </c>
      <c r="C70">
        <f>+B70+Data!K66</f>
        <v>8728.619256</v>
      </c>
      <c r="D70">
        <f>+Data!G66</f>
        <v>0</v>
      </c>
      <c r="E70">
        <f>+Data!F66</f>
        <v>0</v>
      </c>
    </row>
    <row r="71" spans="1:5">
      <c r="A71" s="2">
        <v>1795</v>
      </c>
      <c r="B71">
        <f>+Data!L67</f>
        <v>7349.8535119999997</v>
      </c>
      <c r="C71">
        <f>+B71+Data!K67</f>
        <v>8956.8535119999997</v>
      </c>
      <c r="D71">
        <f>+Data!G67</f>
        <v>0</v>
      </c>
      <c r="E71">
        <f>+Data!F67</f>
        <v>0</v>
      </c>
    </row>
    <row r="72" spans="1:5">
      <c r="A72" s="2">
        <v>2</v>
      </c>
      <c r="B72">
        <f>+Data!L68</f>
        <v>7702.8482649999996</v>
      </c>
      <c r="C72">
        <f>+B72+Data!K68</f>
        <v>9309.8482650000005</v>
      </c>
      <c r="D72">
        <f>+Data!G68</f>
        <v>0</v>
      </c>
      <c r="E72">
        <f>+Data!F68</f>
        <v>0</v>
      </c>
    </row>
    <row r="73" spans="1:5">
      <c r="A73" s="2">
        <v>3</v>
      </c>
      <c r="B73">
        <f>+Data!L69</f>
        <v>8148.652</v>
      </c>
      <c r="C73">
        <f>+B73+Data!K69</f>
        <v>9759.1749999999993</v>
      </c>
      <c r="D73">
        <f>+Data!G69</f>
        <v>0</v>
      </c>
      <c r="E73">
        <f>+Data!F69</f>
        <v>0</v>
      </c>
    </row>
    <row r="74" spans="1:5">
      <c r="A74" s="2">
        <v>4</v>
      </c>
      <c r="B74">
        <f>+Data!L70</f>
        <v>8903.5079999999998</v>
      </c>
      <c r="C74">
        <f>+B74+Data!K70</f>
        <v>10539.008</v>
      </c>
      <c r="D74">
        <f>+Data!G70</f>
        <v>0</v>
      </c>
      <c r="E74">
        <f>+Data!F70</f>
        <v>0</v>
      </c>
    </row>
    <row r="75" spans="1:5">
      <c r="A75" s="2">
        <v>5</v>
      </c>
      <c r="B75">
        <f>+Data!L71</f>
        <v>10055.35</v>
      </c>
      <c r="C75">
        <f>+B75+Data!K71</f>
        <v>11735.85</v>
      </c>
      <c r="D75">
        <f>+Data!G71</f>
        <v>0</v>
      </c>
      <c r="E75">
        <f>+Data!F71</f>
        <v>0</v>
      </c>
    </row>
    <row r="76" spans="1:5">
      <c r="A76" s="2">
        <v>6</v>
      </c>
      <c r="B76">
        <f>+Data!L72</f>
        <v>11374.46</v>
      </c>
      <c r="C76">
        <f>+B76+Data!K72</f>
        <v>13109.96</v>
      </c>
      <c r="D76">
        <f>+Data!G72</f>
        <v>0</v>
      </c>
      <c r="E76">
        <f>+Data!F72</f>
        <v>0</v>
      </c>
    </row>
    <row r="77" spans="1:5">
      <c r="A77" s="2">
        <v>7</v>
      </c>
      <c r="B77">
        <f>+Data!L73</f>
        <v>13822.63</v>
      </c>
      <c r="C77">
        <f>+B77+Data!K73</f>
        <v>15632.13</v>
      </c>
      <c r="D77">
        <f>+Data!G73</f>
        <v>0</v>
      </c>
      <c r="E77">
        <f>+Data!F73</f>
        <v>0</v>
      </c>
    </row>
    <row r="78" spans="1:5">
      <c r="A78" s="2">
        <v>8</v>
      </c>
      <c r="B78">
        <f>+Data!L74</f>
        <v>15469.63</v>
      </c>
      <c r="C78">
        <f>+B78+Data!K74</f>
        <v>17413.129999999997</v>
      </c>
      <c r="D78">
        <f>+Data!G74</f>
        <v>0</v>
      </c>
      <c r="E78">
        <f>+Data!F74</f>
        <v>0</v>
      </c>
    </row>
    <row r="79" spans="1:5">
      <c r="A79" s="2">
        <v>9</v>
      </c>
      <c r="B79">
        <f>+Data!L75</f>
        <v>17271.14</v>
      </c>
      <c r="C79">
        <f>+B79+Data!K75</f>
        <v>19323.64</v>
      </c>
      <c r="D79">
        <f>+Data!G75</f>
        <v>0</v>
      </c>
      <c r="E79">
        <f>+Data!F75</f>
        <v>0</v>
      </c>
    </row>
    <row r="80" spans="1:5">
      <c r="A80" s="2">
        <v>10</v>
      </c>
      <c r="B80">
        <f>+Data!L76</f>
        <v>19462.169999999998</v>
      </c>
      <c r="C80">
        <f>+B80+Data!K76</f>
        <v>21736.67</v>
      </c>
      <c r="D80">
        <f>+Data!G76</f>
        <v>0</v>
      </c>
      <c r="E80">
        <f>+Data!F76</f>
        <v>0</v>
      </c>
    </row>
    <row r="81" spans="1:5">
      <c r="A81" s="2">
        <v>11</v>
      </c>
      <c r="B81">
        <f>+Data!L77</f>
        <v>22356.13</v>
      </c>
      <c r="C81">
        <f>+B81+Data!K77</f>
        <v>24843.63</v>
      </c>
      <c r="D81">
        <f>+Data!G77</f>
        <v>0</v>
      </c>
      <c r="E81">
        <f>+Data!F77</f>
        <v>0</v>
      </c>
    </row>
    <row r="82" spans="1:5">
      <c r="A82" s="2">
        <v>12</v>
      </c>
      <c r="B82">
        <f>+Data!L78</f>
        <v>25457.86</v>
      </c>
      <c r="C82">
        <f>+B82+Data!K78</f>
        <v>28223.360000000001</v>
      </c>
      <c r="D82">
        <f>+Data!G78</f>
        <v>0</v>
      </c>
      <c r="E82">
        <f>+Data!F78</f>
        <v>0</v>
      </c>
    </row>
    <row r="83" spans="1:5">
      <c r="A83" s="2">
        <v>1796</v>
      </c>
      <c r="B83">
        <f>+Data!L79</f>
        <v>34660.69</v>
      </c>
      <c r="C83">
        <f>+B83+Data!K79</f>
        <v>37770.19</v>
      </c>
      <c r="D83">
        <f>+Data!G79</f>
        <v>0</v>
      </c>
      <c r="E83">
        <f>+Data!F79</f>
        <v>0</v>
      </c>
    </row>
    <row r="84" spans="1:5">
      <c r="A84" s="2">
        <v>2</v>
      </c>
      <c r="B84">
        <f>+Data!L80</f>
        <v>35802.78</v>
      </c>
      <c r="C84">
        <f>+B84+Data!K80</f>
        <v>40209.279999999999</v>
      </c>
      <c r="D84">
        <f>+Data!G80</f>
        <v>0</v>
      </c>
      <c r="E84">
        <f>+Data!F80</f>
        <v>0</v>
      </c>
    </row>
    <row r="85" spans="1:5">
      <c r="A85" s="2">
        <v>3</v>
      </c>
      <c r="B85">
        <f>+Data!L81</f>
        <v>37278.61</v>
      </c>
      <c r="C85">
        <f>+B85+Data!K81</f>
        <v>41932.11</v>
      </c>
      <c r="D85">
        <f>+Data!G81</f>
        <v>0</v>
      </c>
      <c r="E85">
        <f>+Data!F81</f>
        <v>0</v>
      </c>
    </row>
    <row r="86" spans="1:5">
      <c r="A86" s="2">
        <v>4</v>
      </c>
      <c r="B86">
        <f>+Data!L82</f>
        <v>36758.03</v>
      </c>
      <c r="C86">
        <f>+B86+Data!K82</f>
        <v>42188.53</v>
      </c>
      <c r="D86">
        <f>+Data!G82</f>
        <v>0</v>
      </c>
      <c r="E86">
        <f>+Data!F82</f>
        <v>0</v>
      </c>
    </row>
    <row r="87" spans="1:5">
      <c r="A87" s="2">
        <v>5</v>
      </c>
      <c r="B87">
        <f>+Data!L83</f>
        <v>35800.49</v>
      </c>
      <c r="C87">
        <f>+B87+Data!K83</f>
        <v>35800.49</v>
      </c>
      <c r="D87">
        <f>+Data!G83</f>
        <v>0</v>
      </c>
      <c r="E87">
        <f>+Data!F83</f>
        <v>0</v>
      </c>
    </row>
    <row r="88" spans="1:5">
      <c r="A88" s="2">
        <v>6</v>
      </c>
      <c r="B88">
        <f>+Data!L84</f>
        <v>34682.42</v>
      </c>
      <c r="C88">
        <f>+B88+Data!K84</f>
        <v>34682.42</v>
      </c>
      <c r="D88">
        <f>+Data!G84</f>
        <v>0</v>
      </c>
      <c r="E88">
        <f>+Data!F84</f>
        <v>0</v>
      </c>
    </row>
    <row r="89" spans="1:5">
      <c r="A89" s="2">
        <v>7</v>
      </c>
      <c r="B89">
        <f>+Data!L85</f>
        <v>33555.589999999997</v>
      </c>
      <c r="C89">
        <f>+B89+Data!K85</f>
        <v>33555.589999999997</v>
      </c>
      <c r="D89">
        <f>+Data!G85</f>
        <v>0</v>
      </c>
      <c r="E89">
        <f>+Data!F85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9"/>
  <sheetViews>
    <sheetView zoomScaleSheetLayoutView="1" workbookViewId="0">
      <selection activeCell="J8" sqref="J8"/>
    </sheetView>
  </sheetViews>
  <sheetFormatPr defaultRowHeight="12.75"/>
  <cols>
    <col min="1" max="14" width="9.140625" style="2"/>
    <col min="15" max="16384" width="9.140625" style="1"/>
  </cols>
  <sheetData>
    <row r="1" spans="1:16">
      <c r="B1" s="2" t="s">
        <v>317</v>
      </c>
      <c r="C1" s="2" t="s">
        <v>316</v>
      </c>
      <c r="E1" s="2" t="s">
        <v>315</v>
      </c>
      <c r="F1" s="2" t="s">
        <v>314</v>
      </c>
      <c r="G1" s="2" t="s">
        <v>313</v>
      </c>
      <c r="H1" s="2" t="s">
        <v>90</v>
      </c>
      <c r="I1" s="2" t="s">
        <v>312</v>
      </c>
      <c r="J1" s="2" t="s">
        <v>311</v>
      </c>
      <c r="K1" s="2" t="s">
        <v>310</v>
      </c>
    </row>
    <row r="2" spans="1:16">
      <c r="L2" s="2" t="s">
        <v>71</v>
      </c>
    </row>
    <row r="3" spans="1:16">
      <c r="A3" s="2">
        <v>5</v>
      </c>
      <c r="J3" s="2">
        <v>45.800597000000003</v>
      </c>
      <c r="K3" s="2">
        <v>10.77298</v>
      </c>
      <c r="L3" s="4">
        <v>0.23521483792012579</v>
      </c>
    </row>
    <row r="4" spans="1:16">
      <c r="A4" s="2">
        <v>6</v>
      </c>
      <c r="J4" s="2">
        <v>45.800597000000003</v>
      </c>
      <c r="K4" s="2">
        <v>10.77298</v>
      </c>
      <c r="L4" s="4">
        <v>0.23521483792012579</v>
      </c>
    </row>
    <row r="5" spans="1:16">
      <c r="A5" s="2">
        <v>7</v>
      </c>
      <c r="J5" s="2">
        <v>45.800597000000003</v>
      </c>
      <c r="K5" s="2">
        <v>10.77298</v>
      </c>
      <c r="L5" s="4">
        <v>0.23521483792012579</v>
      </c>
    </row>
    <row r="6" spans="1:16">
      <c r="A6" s="2">
        <v>8</v>
      </c>
      <c r="C6" s="2">
        <v>10.77298</v>
      </c>
      <c r="E6" s="2">
        <v>45.800597000000003</v>
      </c>
      <c r="H6" s="2">
        <v>0.98</v>
      </c>
      <c r="I6" s="4">
        <f>C6/E6</f>
        <v>0.23521483792012579</v>
      </c>
      <c r="J6" s="2">
        <f>E6</f>
        <v>45.800597000000003</v>
      </c>
      <c r="K6" s="2">
        <f>C6</f>
        <v>10.77298</v>
      </c>
      <c r="L6" s="4">
        <v>0.23521483792012579</v>
      </c>
    </row>
    <row r="7" spans="1:16">
      <c r="A7" s="2">
        <v>9</v>
      </c>
      <c r="H7" s="2">
        <v>0.98</v>
      </c>
      <c r="I7" s="4">
        <v>0.23521483792012579</v>
      </c>
      <c r="J7" s="2">
        <v>45.800597000000003</v>
      </c>
      <c r="K7" s="2">
        <v>10.77298</v>
      </c>
      <c r="L7" s="4">
        <f>L6</f>
        <v>0.23521483792012579</v>
      </c>
    </row>
    <row r="8" spans="1:16">
      <c r="A8" s="2">
        <v>10</v>
      </c>
      <c r="H8" s="2">
        <v>0.97</v>
      </c>
      <c r="I8" s="4">
        <v>0.23521483792012579</v>
      </c>
      <c r="J8" s="2">
        <v>45.800597000000003</v>
      </c>
      <c r="K8" s="2">
        <v>10.77298</v>
      </c>
      <c r="L8" s="4">
        <f>L7</f>
        <v>0.23521483792012579</v>
      </c>
    </row>
    <row r="9" spans="1:16">
      <c r="A9" s="2">
        <v>11</v>
      </c>
      <c r="H9" s="2">
        <v>0.96</v>
      </c>
      <c r="I9" s="4">
        <v>0.23521483792012579</v>
      </c>
      <c r="J9" s="2">
        <v>45.800597000000003</v>
      </c>
      <c r="K9" s="2">
        <v>10.77298</v>
      </c>
      <c r="L9" s="4">
        <f>L8</f>
        <v>0.23521483792012579</v>
      </c>
    </row>
    <row r="10" spans="1:16">
      <c r="A10" s="2">
        <v>12</v>
      </c>
      <c r="H10" s="2">
        <v>0.95</v>
      </c>
      <c r="I10" s="4">
        <v>0.23521483792012579</v>
      </c>
      <c r="J10" s="2">
        <v>45.800597000000003</v>
      </c>
      <c r="K10" s="2">
        <v>10.77298</v>
      </c>
      <c r="L10" s="4">
        <f>L9</f>
        <v>0.23521483792012579</v>
      </c>
      <c r="P10" s="1">
        <f>+Data!L6</f>
        <v>105</v>
      </c>
    </row>
    <row r="11" spans="1:16">
      <c r="A11" s="2">
        <v>1790</v>
      </c>
      <c r="C11" s="2">
        <v>12.294</v>
      </c>
      <c r="E11" s="2">
        <v>37.098999999999997</v>
      </c>
      <c r="F11" s="2">
        <v>24</v>
      </c>
      <c r="H11" s="2">
        <v>0.96</v>
      </c>
      <c r="I11" s="4">
        <f t="shared" ref="I11:I42" si="0">C11/E11</f>
        <v>0.33138359524515487</v>
      </c>
      <c r="J11" s="2">
        <f t="shared" ref="J11:J22" si="1">E11</f>
        <v>37.098999999999997</v>
      </c>
      <c r="K11" s="2">
        <f t="shared" ref="K11:K22" si="2">C11</f>
        <v>12.294</v>
      </c>
      <c r="L11" s="4">
        <f>1/(J10+J11)*(K10+K11)</f>
        <v>0.27825201611052464</v>
      </c>
      <c r="M11" s="2">
        <f>SUM(J11:J22)</f>
        <v>668.52488999999991</v>
      </c>
      <c r="P11" s="1">
        <f>+F11+P10</f>
        <v>129</v>
      </c>
    </row>
    <row r="12" spans="1:16">
      <c r="A12" s="2">
        <v>2</v>
      </c>
      <c r="C12" s="2">
        <v>7.7850000000000001</v>
      </c>
      <c r="E12" s="2">
        <v>27.663</v>
      </c>
      <c r="F12" s="2">
        <v>18</v>
      </c>
      <c r="H12" s="2">
        <v>0.95</v>
      </c>
      <c r="I12" s="4">
        <f t="shared" si="0"/>
        <v>0.28142283917145644</v>
      </c>
      <c r="J12" s="2">
        <f t="shared" si="1"/>
        <v>27.663</v>
      </c>
      <c r="K12" s="2">
        <f t="shared" si="2"/>
        <v>7.7850000000000001</v>
      </c>
      <c r="L12" s="4">
        <f>1/(J11+J12)*(K11+K12)</f>
        <v>0.31004292640746117</v>
      </c>
      <c r="P12" s="1">
        <f t="shared" ref="P12:P23" si="3">+F12+P11</f>
        <v>147</v>
      </c>
    </row>
    <row r="13" spans="1:16">
      <c r="A13" s="2">
        <v>3</v>
      </c>
      <c r="C13" s="2">
        <v>8.2669999999999995</v>
      </c>
      <c r="E13" s="2">
        <v>44.506</v>
      </c>
      <c r="F13" s="2">
        <v>28</v>
      </c>
      <c r="H13" s="2">
        <v>0.94</v>
      </c>
      <c r="I13" s="4">
        <f t="shared" si="0"/>
        <v>0.1857502359232463</v>
      </c>
      <c r="J13" s="2">
        <f t="shared" si="1"/>
        <v>44.506</v>
      </c>
      <c r="K13" s="2">
        <f t="shared" si="2"/>
        <v>8.2669999999999995</v>
      </c>
      <c r="L13" s="4">
        <f>1/(J12+J13)*(K12+K13)</f>
        <v>0.22242236971552884</v>
      </c>
      <c r="P13" s="1">
        <f t="shared" si="3"/>
        <v>175</v>
      </c>
    </row>
    <row r="14" spans="1:16">
      <c r="A14" s="2">
        <v>4</v>
      </c>
      <c r="C14" s="2">
        <v>9.84</v>
      </c>
      <c r="E14" s="2">
        <v>31.644359999999999</v>
      </c>
      <c r="F14" s="2">
        <v>20</v>
      </c>
      <c r="H14" s="2">
        <v>0.94</v>
      </c>
      <c r="I14" s="4">
        <f t="shared" si="0"/>
        <v>0.31095588597778562</v>
      </c>
      <c r="J14" s="2">
        <f t="shared" si="1"/>
        <v>31.644359999999999</v>
      </c>
      <c r="K14" s="2">
        <f t="shared" si="2"/>
        <v>9.84</v>
      </c>
      <c r="L14" s="4">
        <f>1/(J13+J14)*(K13+K14)</f>
        <v>0.23777957188908885</v>
      </c>
      <c r="P14" s="1">
        <f t="shared" si="3"/>
        <v>195</v>
      </c>
    </row>
    <row r="15" spans="1:16">
      <c r="A15" s="2">
        <v>5</v>
      </c>
      <c r="C15" s="2">
        <v>13.807886999999999</v>
      </c>
      <c r="E15" s="2">
        <v>42.562220000000003</v>
      </c>
      <c r="F15" s="2">
        <v>22</v>
      </c>
      <c r="H15" s="2">
        <v>0.94</v>
      </c>
      <c r="I15" s="4">
        <f t="shared" si="0"/>
        <v>0.32441651304842645</v>
      </c>
      <c r="J15" s="2">
        <f t="shared" si="1"/>
        <v>42.562220000000003</v>
      </c>
      <c r="K15" s="2">
        <f t="shared" si="2"/>
        <v>13.807886999999999</v>
      </c>
      <c r="L15" s="4">
        <v>0.31867641656575468</v>
      </c>
      <c r="P15" s="1">
        <f t="shared" si="3"/>
        <v>217</v>
      </c>
    </row>
    <row r="16" spans="1:16">
      <c r="A16" s="2">
        <v>6</v>
      </c>
      <c r="C16" s="2">
        <v>9.5758609999999997</v>
      </c>
      <c r="E16" s="2">
        <v>61.862929999999999</v>
      </c>
      <c r="F16" s="2">
        <v>45</v>
      </c>
      <c r="H16" s="2">
        <v>0.95</v>
      </c>
      <c r="I16" s="4">
        <f t="shared" si="0"/>
        <v>0.15479158520296404</v>
      </c>
      <c r="J16" s="2">
        <f t="shared" si="1"/>
        <v>61.862929999999999</v>
      </c>
      <c r="K16" s="2">
        <f t="shared" si="2"/>
        <v>9.5758609999999997</v>
      </c>
      <c r="L16" s="4">
        <v>0.22392831611924904</v>
      </c>
      <c r="P16" s="1">
        <f t="shared" si="3"/>
        <v>262</v>
      </c>
    </row>
    <row r="17" spans="1:16">
      <c r="A17" s="2">
        <v>7</v>
      </c>
      <c r="C17" s="2">
        <v>13.414262000000001</v>
      </c>
      <c r="E17" s="2">
        <v>74.801370000000006</v>
      </c>
      <c r="F17" s="2">
        <v>48</v>
      </c>
      <c r="H17" s="2">
        <v>0.95</v>
      </c>
      <c r="I17" s="4">
        <f t="shared" si="0"/>
        <v>0.17933176892348363</v>
      </c>
      <c r="J17" s="2">
        <f t="shared" si="1"/>
        <v>74.801370000000006</v>
      </c>
      <c r="K17" s="2">
        <f t="shared" si="2"/>
        <v>13.414262000000001</v>
      </c>
      <c r="L17" s="4">
        <v>0.16822332533075574</v>
      </c>
      <c r="P17" s="1">
        <f t="shared" si="3"/>
        <v>310</v>
      </c>
    </row>
    <row r="18" spans="1:16">
      <c r="A18" s="2">
        <v>8</v>
      </c>
      <c r="C18" s="2">
        <v>7.9714029999999996</v>
      </c>
      <c r="E18" s="2">
        <v>57.627960000000002</v>
      </c>
      <c r="F18" s="2">
        <v>40</v>
      </c>
      <c r="H18" s="2">
        <v>0.92</v>
      </c>
      <c r="I18" s="4">
        <f t="shared" si="0"/>
        <v>0.13832526780403123</v>
      </c>
      <c r="J18" s="2">
        <f t="shared" si="1"/>
        <v>57.627960000000002</v>
      </c>
      <c r="K18" s="2">
        <f t="shared" si="2"/>
        <v>7.9714029999999996</v>
      </c>
      <c r="L18" s="4">
        <v>0.16148737594609894</v>
      </c>
      <c r="P18" s="1">
        <f t="shared" si="3"/>
        <v>350</v>
      </c>
    </row>
    <row r="19" spans="1:16">
      <c r="A19" s="2">
        <v>9</v>
      </c>
      <c r="C19" s="2">
        <v>13.872481000000001</v>
      </c>
      <c r="E19" s="2">
        <v>71.266750000000002</v>
      </c>
      <c r="F19" s="2">
        <v>40</v>
      </c>
      <c r="H19" s="2">
        <v>0.91</v>
      </c>
      <c r="I19" s="4">
        <f t="shared" si="0"/>
        <v>0.19465572654849561</v>
      </c>
      <c r="J19" s="2">
        <f t="shared" si="1"/>
        <v>71.266750000000002</v>
      </c>
      <c r="K19" s="2">
        <f t="shared" si="2"/>
        <v>13.872481000000001</v>
      </c>
      <c r="L19" s="4">
        <v>0.16947075640264833</v>
      </c>
      <c r="P19" s="1">
        <f t="shared" si="3"/>
        <v>390</v>
      </c>
    </row>
    <row r="20" spans="1:16">
      <c r="A20" s="2">
        <v>10</v>
      </c>
      <c r="C20" s="2">
        <v>16.437308999999999</v>
      </c>
      <c r="E20" s="2">
        <v>74.711770000000001</v>
      </c>
      <c r="F20" s="2">
        <v>48.594999999999999</v>
      </c>
      <c r="H20" s="2">
        <v>0.91</v>
      </c>
      <c r="I20" s="4">
        <f t="shared" si="0"/>
        <v>0.22000963168186216</v>
      </c>
      <c r="J20" s="2">
        <f t="shared" si="1"/>
        <v>74.711770000000001</v>
      </c>
      <c r="K20" s="2">
        <f t="shared" si="2"/>
        <v>16.437308999999999</v>
      </c>
      <c r="L20" s="4">
        <v>0.20763184885009109</v>
      </c>
      <c r="P20" s="1">
        <f t="shared" si="3"/>
        <v>438.59500000000003</v>
      </c>
    </row>
    <row r="21" spans="1:16">
      <c r="A21" s="2">
        <v>11</v>
      </c>
      <c r="C21" s="2">
        <v>13.552766999999999</v>
      </c>
      <c r="E21" s="2">
        <v>63.190350000000002</v>
      </c>
      <c r="F21" s="2">
        <v>49.84</v>
      </c>
      <c r="H21" s="2">
        <v>0.9</v>
      </c>
      <c r="I21" s="4">
        <f t="shared" si="0"/>
        <v>0.21447526402369979</v>
      </c>
      <c r="J21" s="2">
        <f t="shared" si="1"/>
        <v>63.190350000000002</v>
      </c>
      <c r="K21" s="2">
        <f t="shared" si="2"/>
        <v>13.552766999999999</v>
      </c>
      <c r="L21" s="4">
        <v>0.21747363999915301</v>
      </c>
      <c r="P21" s="1">
        <f t="shared" si="3"/>
        <v>488.43500000000006</v>
      </c>
    </row>
    <row r="22" spans="1:16">
      <c r="A22" s="2">
        <v>12</v>
      </c>
      <c r="C22" s="2">
        <v>17.021594</v>
      </c>
      <c r="E22" s="2">
        <f>103.76045-22.17127</f>
        <v>81.589179999999999</v>
      </c>
      <c r="F22" s="2">
        <v>47</v>
      </c>
      <c r="H22" s="2">
        <v>0.92</v>
      </c>
      <c r="I22" s="4">
        <f t="shared" si="0"/>
        <v>0.20862562903561477</v>
      </c>
      <c r="J22" s="2">
        <f t="shared" si="1"/>
        <v>81.589179999999999</v>
      </c>
      <c r="K22" s="2">
        <f t="shared" si="2"/>
        <v>17.021594</v>
      </c>
      <c r="L22" s="4">
        <v>0.2111787557260339</v>
      </c>
      <c r="P22" s="1">
        <f t="shared" si="3"/>
        <v>535.43500000000006</v>
      </c>
    </row>
    <row r="23" spans="1:16">
      <c r="A23" s="2">
        <v>1791</v>
      </c>
      <c r="C23" s="2">
        <v>25.773558000000001</v>
      </c>
      <c r="E23" s="2">
        <v>83.030330000000006</v>
      </c>
      <c r="F23" s="2">
        <v>63.744999999999997</v>
      </c>
      <c r="G23" s="2">
        <v>0.96670800000000001</v>
      </c>
      <c r="H23" s="2">
        <v>0.91</v>
      </c>
      <c r="I23" s="4">
        <f t="shared" si="0"/>
        <v>0.3104113641364547</v>
      </c>
      <c r="J23" s="2">
        <f t="shared" ref="J23:J66" si="4">E23*G23</f>
        <v>80.266084253640003</v>
      </c>
      <c r="K23" s="2">
        <f t="shared" ref="K23:K66" si="5">C23*G23</f>
        <v>24.915504707064002</v>
      </c>
      <c r="L23" s="4">
        <v>0.25910246973089024</v>
      </c>
      <c r="M23" s="2">
        <f>SUM(J23:J34)</f>
        <v>763.37361091826983</v>
      </c>
      <c r="P23" s="1">
        <f t="shared" si="3"/>
        <v>599.18000000000006</v>
      </c>
    </row>
    <row r="24" spans="1:16">
      <c r="A24" s="2">
        <v>2</v>
      </c>
      <c r="C24" s="2">
        <v>20.425796999999999</v>
      </c>
      <c r="E24" s="2">
        <v>76.747730000000004</v>
      </c>
      <c r="F24" s="2">
        <v>76.820999999999998</v>
      </c>
      <c r="G24" s="2">
        <v>0.96379800000000004</v>
      </c>
      <c r="H24" s="2">
        <v>0.91</v>
      </c>
      <c r="I24" s="4">
        <f t="shared" si="0"/>
        <v>0.266142034428901</v>
      </c>
      <c r="J24" s="2">
        <f t="shared" si="4"/>
        <v>73.969308678540003</v>
      </c>
      <c r="K24" s="2">
        <f t="shared" si="5"/>
        <v>19.686342297006</v>
      </c>
      <c r="L24" s="4">
        <v>0.28918036357376298</v>
      </c>
    </row>
    <row r="25" spans="1:16">
      <c r="A25" s="2">
        <v>3</v>
      </c>
      <c r="C25" s="2">
        <v>14.833358</v>
      </c>
      <c r="E25" s="2">
        <v>82.075699999999998</v>
      </c>
      <c r="F25" s="2">
        <v>46.819000000000003</v>
      </c>
      <c r="G25" s="2">
        <v>0.95771700000000004</v>
      </c>
      <c r="H25" s="2">
        <v>0.9</v>
      </c>
      <c r="I25" s="4">
        <f t="shared" si="0"/>
        <v>0.18072776717103844</v>
      </c>
      <c r="J25" s="2">
        <f t="shared" si="4"/>
        <v>78.605293176900005</v>
      </c>
      <c r="K25" s="2">
        <f t="shared" si="5"/>
        <v>14.206159123686001</v>
      </c>
      <c r="L25" s="4">
        <v>0.22213724308325025</v>
      </c>
    </row>
    <row r="26" spans="1:16">
      <c r="A26" s="2">
        <v>4</v>
      </c>
      <c r="C26" s="2">
        <v>18.776526</v>
      </c>
      <c r="E26" s="2">
        <v>98.328479999999999</v>
      </c>
      <c r="F26" s="2">
        <v>72.28</v>
      </c>
      <c r="G26" s="2">
        <v>0.95040599999999997</v>
      </c>
      <c r="H26" s="2">
        <v>0.89</v>
      </c>
      <c r="I26" s="4">
        <f t="shared" si="0"/>
        <v>0.19095714690189455</v>
      </c>
      <c r="J26" s="2">
        <f t="shared" si="4"/>
        <v>93.451977362880001</v>
      </c>
      <c r="K26" s="2">
        <f t="shared" si="5"/>
        <v>17.845322969556001</v>
      </c>
      <c r="L26" s="4">
        <v>0.18628379953192173</v>
      </c>
    </row>
    <row r="27" spans="1:16">
      <c r="A27" s="2">
        <v>5</v>
      </c>
      <c r="C27" s="2">
        <v>10.134428000000002</v>
      </c>
      <c r="E27" s="2">
        <v>70.292050000000003</v>
      </c>
      <c r="F27" s="2">
        <v>60.235599999999998</v>
      </c>
      <c r="G27" s="2">
        <v>0.93571700000000002</v>
      </c>
      <c r="H27" s="2">
        <v>0.85000010000000004</v>
      </c>
      <c r="I27" s="4">
        <f t="shared" si="0"/>
        <v>0.14417601990552276</v>
      </c>
      <c r="J27" s="2">
        <f t="shared" si="4"/>
        <v>65.773466149850009</v>
      </c>
      <c r="K27" s="2">
        <f t="shared" si="5"/>
        <v>9.4829565648760017</v>
      </c>
      <c r="L27" s="4">
        <v>0.17163261682010714</v>
      </c>
    </row>
    <row r="28" spans="1:16">
      <c r="A28" s="2">
        <v>6</v>
      </c>
      <c r="C28" s="2">
        <v>14.023985000000001</v>
      </c>
      <c r="E28" s="2">
        <v>76.857290000000006</v>
      </c>
      <c r="F28" s="2">
        <v>49.412799999999997</v>
      </c>
      <c r="G28" s="2">
        <v>0.929504</v>
      </c>
      <c r="H28" s="2">
        <v>0.85000010000000004</v>
      </c>
      <c r="I28" s="4">
        <f t="shared" si="0"/>
        <v>0.18246785698532958</v>
      </c>
      <c r="J28" s="2">
        <f t="shared" si="4"/>
        <v>71.439158484160004</v>
      </c>
      <c r="K28" s="2">
        <f t="shared" si="5"/>
        <v>13.035350153440001</v>
      </c>
      <c r="L28" s="4">
        <v>0.16411249896559835</v>
      </c>
    </row>
    <row r="29" spans="1:16">
      <c r="A29" s="2">
        <v>7</v>
      </c>
      <c r="C29" s="2">
        <v>14.109741</v>
      </c>
      <c r="E29" s="2">
        <v>62.293500000000002</v>
      </c>
      <c r="F29" s="2">
        <v>62.184699999999999</v>
      </c>
      <c r="G29" s="2">
        <v>0.92061199999999999</v>
      </c>
      <c r="H29" s="2">
        <v>0.87</v>
      </c>
      <c r="I29" s="4">
        <f t="shared" si="0"/>
        <v>0.22650422596258035</v>
      </c>
      <c r="J29" s="2">
        <f t="shared" si="4"/>
        <v>57.348143622000002</v>
      </c>
      <c r="K29" s="2">
        <f t="shared" si="5"/>
        <v>12.989596881492</v>
      </c>
      <c r="L29" s="4">
        <v>0.20207696418300236</v>
      </c>
    </row>
    <row r="30" spans="1:16">
      <c r="A30" s="2">
        <v>8</v>
      </c>
      <c r="C30" s="2">
        <v>13.096985999999999</v>
      </c>
      <c r="E30" s="2">
        <v>54.482750000000003</v>
      </c>
      <c r="F30" s="2">
        <v>28.823699999999999</v>
      </c>
      <c r="G30" s="2">
        <v>0.898899</v>
      </c>
      <c r="H30" s="2">
        <v>0.79000009999999998</v>
      </c>
      <c r="I30" s="4">
        <f t="shared" si="0"/>
        <v>0.24038775575755628</v>
      </c>
      <c r="J30" s="2">
        <f t="shared" si="4"/>
        <v>48.974489492250001</v>
      </c>
      <c r="K30" s="2">
        <f t="shared" si="5"/>
        <v>11.772867618413999</v>
      </c>
      <c r="L30" s="4">
        <v>0.23289927811792674</v>
      </c>
    </row>
    <row r="31" spans="1:16">
      <c r="A31" s="2">
        <v>9</v>
      </c>
      <c r="C31" s="2">
        <v>35.697105000000001</v>
      </c>
      <c r="E31" s="2">
        <v>53.455300000000001</v>
      </c>
      <c r="F31" s="2">
        <v>45.292099999999998</v>
      </c>
      <c r="G31" s="2">
        <v>0.89795499999999995</v>
      </c>
      <c r="H31" s="2">
        <v>0.82</v>
      </c>
      <c r="I31" s="4">
        <f t="shared" si="0"/>
        <v>0.66779355835623411</v>
      </c>
      <c r="J31" s="2">
        <f t="shared" si="4"/>
        <v>48.000453911499996</v>
      </c>
      <c r="K31" s="2">
        <f t="shared" si="5"/>
        <v>32.054393920274997</v>
      </c>
      <c r="L31" s="4">
        <v>0.45194418269693165</v>
      </c>
    </row>
    <row r="32" spans="1:16">
      <c r="A32" s="2">
        <v>10</v>
      </c>
      <c r="C32" s="2">
        <v>23.828146</v>
      </c>
      <c r="E32" s="2">
        <v>79.430149999999998</v>
      </c>
      <c r="F32" s="2">
        <v>73.864000000000004</v>
      </c>
      <c r="G32" s="2">
        <v>0.89563499999999996</v>
      </c>
      <c r="H32" s="2">
        <v>0.84</v>
      </c>
      <c r="I32" s="4">
        <f t="shared" si="0"/>
        <v>0.29998868187961375</v>
      </c>
      <c r="J32" s="2">
        <f t="shared" si="4"/>
        <v>71.140422395249999</v>
      </c>
      <c r="K32" s="2">
        <f t="shared" si="5"/>
        <v>21.341321542709998</v>
      </c>
      <c r="L32" s="4">
        <v>0.44817292870591241</v>
      </c>
    </row>
    <row r="33" spans="1:13">
      <c r="A33" s="2">
        <v>11</v>
      </c>
      <c r="C33" s="2">
        <v>25.070643</v>
      </c>
      <c r="E33" s="2">
        <v>44.922150000000002</v>
      </c>
      <c r="F33" s="2">
        <v>49.116199999999999</v>
      </c>
      <c r="G33" s="2">
        <v>0.87919700000000001</v>
      </c>
      <c r="H33" s="2">
        <v>0.82</v>
      </c>
      <c r="I33" s="4">
        <f t="shared" si="0"/>
        <v>0.55809089725224637</v>
      </c>
      <c r="J33" s="2">
        <f t="shared" si="4"/>
        <v>39.495419513550004</v>
      </c>
      <c r="K33" s="2">
        <f t="shared" si="5"/>
        <v>22.042034113671001</v>
      </c>
      <c r="L33" s="4">
        <v>0.39212749600751468</v>
      </c>
    </row>
    <row r="34" spans="1:13">
      <c r="A34" s="2">
        <v>12</v>
      </c>
      <c r="C34" s="2">
        <v>21.925052999999998</v>
      </c>
      <c r="E34" s="2">
        <v>40.794249999999998</v>
      </c>
      <c r="F34" s="2">
        <v>39.671080000000003</v>
      </c>
      <c r="G34" s="2">
        <v>0.85574300000000003</v>
      </c>
      <c r="H34" s="2">
        <v>0.77</v>
      </c>
      <c r="I34" s="4">
        <f t="shared" si="0"/>
        <v>0.53745449419955016</v>
      </c>
      <c r="J34" s="2">
        <f t="shared" si="4"/>
        <v>34.909393877749999</v>
      </c>
      <c r="K34" s="2">
        <f t="shared" si="5"/>
        <v>18.762210629378998</v>
      </c>
      <c r="L34" s="4">
        <v>0.5484086698592695</v>
      </c>
    </row>
    <row r="35" spans="1:13">
      <c r="A35" s="2">
        <v>1792</v>
      </c>
      <c r="B35" s="2">
        <v>22.15297</v>
      </c>
      <c r="C35" s="2">
        <f t="shared" ref="C35:C62" si="6">48.558334-B35</f>
        <v>26.405364000000002</v>
      </c>
      <c r="D35" s="2">
        <v>99.956507999999999</v>
      </c>
      <c r="E35" s="2">
        <v>54.129269999999998</v>
      </c>
      <c r="F35" s="2">
        <v>40.957140000000003</v>
      </c>
      <c r="G35" s="2">
        <v>0.81351099999999998</v>
      </c>
      <c r="H35" s="2">
        <v>0.72</v>
      </c>
      <c r="I35" s="4">
        <f t="shared" si="0"/>
        <v>0.48782043430476713</v>
      </c>
      <c r="J35" s="2">
        <f t="shared" si="4"/>
        <v>44.034756566969996</v>
      </c>
      <c r="K35" s="2">
        <f t="shared" si="5"/>
        <v>21.481054073004003</v>
      </c>
      <c r="L35" s="4">
        <v>0.50976879826660526</v>
      </c>
      <c r="M35" s="2">
        <f>SUM(J35:J46)</f>
        <v>1027.2982113564599</v>
      </c>
    </row>
    <row r="36" spans="1:13">
      <c r="A36" s="2">
        <v>2</v>
      </c>
      <c r="B36" s="2">
        <v>20.275510000000001</v>
      </c>
      <c r="C36" s="2">
        <f t="shared" si="6"/>
        <v>28.282824000000002</v>
      </c>
      <c r="D36" s="2">
        <v>72.509968999999998</v>
      </c>
      <c r="E36" s="2">
        <v>68.68571</v>
      </c>
      <c r="F36" s="2">
        <v>32.7239</v>
      </c>
      <c r="G36" s="2">
        <v>0.759606</v>
      </c>
      <c r="H36" s="2">
        <v>0.61</v>
      </c>
      <c r="I36" s="4">
        <f t="shared" si="0"/>
        <v>0.41177158975280304</v>
      </c>
      <c r="J36" s="2">
        <f t="shared" si="4"/>
        <v>52.174077430259999</v>
      </c>
      <c r="K36" s="2">
        <f t="shared" si="5"/>
        <v>21.483802807344002</v>
      </c>
      <c r="L36" s="4">
        <v>0.44657912475672484</v>
      </c>
    </row>
    <row r="37" spans="1:13">
      <c r="A37" s="2">
        <v>3</v>
      </c>
      <c r="B37" s="2">
        <v>5.7225400000000004</v>
      </c>
      <c r="C37" s="2">
        <f t="shared" si="6"/>
        <v>42.835794</v>
      </c>
      <c r="D37" s="2">
        <v>93.065430000000006</v>
      </c>
      <c r="E37" s="2">
        <v>90.106350000000006</v>
      </c>
      <c r="F37" s="2">
        <v>61.512880000000003</v>
      </c>
      <c r="G37" s="2">
        <v>0.7399</v>
      </c>
      <c r="H37" s="2">
        <v>0.59</v>
      </c>
      <c r="I37" s="4">
        <f t="shared" si="0"/>
        <v>0.47539151236289118</v>
      </c>
      <c r="J37" s="2">
        <f t="shared" si="4"/>
        <v>66.669688364999999</v>
      </c>
      <c r="K37" s="2">
        <f t="shared" si="5"/>
        <v>31.694203980600001</v>
      </c>
      <c r="L37" s="4">
        <v>0.44746147542612597</v>
      </c>
    </row>
    <row r="38" spans="1:13">
      <c r="A38" s="2">
        <v>4</v>
      </c>
      <c r="B38" s="2">
        <v>10.212669999999999</v>
      </c>
      <c r="C38" s="2">
        <f t="shared" si="6"/>
        <v>38.345663999999999</v>
      </c>
      <c r="D38" s="2">
        <v>84.554970999999995</v>
      </c>
      <c r="E38" s="2">
        <v>85.553070000000005</v>
      </c>
      <c r="F38" s="2">
        <v>57.27055</v>
      </c>
      <c r="G38" s="2">
        <v>0.75707000000000002</v>
      </c>
      <c r="H38" s="2">
        <v>0.68</v>
      </c>
      <c r="I38" s="4">
        <f t="shared" si="0"/>
        <v>0.44820909407459014</v>
      </c>
      <c r="J38" s="2">
        <f t="shared" si="4"/>
        <v>64.7696627049</v>
      </c>
      <c r="K38" s="2">
        <f t="shared" si="5"/>
        <v>29.030351844480002</v>
      </c>
      <c r="L38" s="4">
        <v>0.46199677136861722</v>
      </c>
    </row>
    <row r="39" spans="1:13">
      <c r="A39" s="2">
        <v>5</v>
      </c>
      <c r="B39" s="2">
        <v>13.076040000000001</v>
      </c>
      <c r="C39" s="2">
        <f t="shared" si="6"/>
        <v>35.482294000000003</v>
      </c>
      <c r="D39" s="2">
        <v>82.304799000000003</v>
      </c>
      <c r="E39" s="2">
        <v>89.649280000000005</v>
      </c>
      <c r="F39" s="2">
        <v>52.207410000000003</v>
      </c>
      <c r="G39" s="2">
        <v>0.71916400000000003</v>
      </c>
      <c r="H39" s="2">
        <v>0.57999999999999996</v>
      </c>
      <c r="I39" s="4">
        <f t="shared" si="0"/>
        <v>0.39579006100216313</v>
      </c>
      <c r="J39" s="2">
        <f t="shared" si="4"/>
        <v>64.472534801920006</v>
      </c>
      <c r="K39" s="2">
        <f t="shared" si="5"/>
        <v>25.517588482216002</v>
      </c>
      <c r="L39" s="4">
        <v>0.42205983323532981</v>
      </c>
    </row>
    <row r="40" spans="1:13">
      <c r="A40" s="2">
        <v>6</v>
      </c>
      <c r="B40" s="2">
        <v>13.39142</v>
      </c>
      <c r="C40" s="2">
        <f t="shared" si="6"/>
        <v>35.166914000000006</v>
      </c>
      <c r="D40" s="2">
        <v>96.431301000000005</v>
      </c>
      <c r="E40" s="2">
        <v>83.963809999999995</v>
      </c>
      <c r="F40" s="2">
        <v>59.166980000000002</v>
      </c>
      <c r="G40" s="2">
        <v>0.71889199999999998</v>
      </c>
      <c r="H40" s="2">
        <v>0.56999999999999995</v>
      </c>
      <c r="I40" s="4">
        <f t="shared" si="0"/>
        <v>0.41883418582363052</v>
      </c>
      <c r="J40" s="2">
        <f t="shared" si="4"/>
        <v>60.360911298519994</v>
      </c>
      <c r="K40" s="2">
        <f t="shared" si="5"/>
        <v>25.281213139288003</v>
      </c>
      <c r="L40" s="4">
        <v>0.4069326226933741</v>
      </c>
    </row>
    <row r="41" spans="1:13">
      <c r="A41" s="2">
        <v>7</v>
      </c>
      <c r="B41" s="2">
        <v>7.7672999999999996</v>
      </c>
      <c r="C41" s="2">
        <f t="shared" si="6"/>
        <v>40.791034000000003</v>
      </c>
      <c r="E41" s="2">
        <v>93.018630000000002</v>
      </c>
      <c r="F41" s="2">
        <v>61.796900000000001</v>
      </c>
      <c r="G41" s="2">
        <v>0.72688299999999995</v>
      </c>
      <c r="H41" s="2">
        <v>0.61</v>
      </c>
      <c r="I41" s="4">
        <f t="shared" si="0"/>
        <v>0.43852542227293612</v>
      </c>
      <c r="J41" s="2">
        <f t="shared" si="4"/>
        <v>67.613660830290002</v>
      </c>
      <c r="K41" s="2">
        <f t="shared" si="5"/>
        <v>29.650309167022002</v>
      </c>
      <c r="L41" s="4">
        <v>0.42923778835548587</v>
      </c>
    </row>
    <row r="42" spans="1:13">
      <c r="A42" s="2">
        <v>8</v>
      </c>
      <c r="B42" s="2">
        <v>14.89973</v>
      </c>
      <c r="C42" s="2">
        <f t="shared" si="6"/>
        <v>33.658604000000004</v>
      </c>
      <c r="D42" s="2">
        <v>135.61295200000001</v>
      </c>
      <c r="E42" s="2">
        <v>149.8098</v>
      </c>
      <c r="F42" s="2">
        <v>57.227600000000002</v>
      </c>
      <c r="G42" s="2">
        <v>0.72401199999999999</v>
      </c>
      <c r="H42" s="2">
        <v>0.61</v>
      </c>
      <c r="I42" s="4">
        <f t="shared" si="0"/>
        <v>0.22467558197127294</v>
      </c>
      <c r="J42" s="2">
        <f t="shared" si="4"/>
        <v>108.4640929176</v>
      </c>
      <c r="K42" s="2">
        <f t="shared" si="5"/>
        <v>24.369233199248004</v>
      </c>
      <c r="L42" s="4">
        <v>0.30679368186179706</v>
      </c>
    </row>
    <row r="43" spans="1:13">
      <c r="A43" s="2">
        <v>9</v>
      </c>
      <c r="B43" s="2">
        <v>16.328199999999999</v>
      </c>
      <c r="C43" s="2">
        <f t="shared" si="6"/>
        <v>32.230134000000007</v>
      </c>
      <c r="E43" s="2">
        <v>177.60069999999999</v>
      </c>
      <c r="F43" s="2">
        <v>130.15119999999999</v>
      </c>
      <c r="G43" s="2">
        <v>0.75241499999999994</v>
      </c>
      <c r="H43" s="2">
        <v>0.72</v>
      </c>
      <c r="I43" s="4">
        <f t="shared" ref="I43:I66" si="7">C43/E43</f>
        <v>0.18147526445560186</v>
      </c>
      <c r="J43" s="2">
        <f t="shared" si="4"/>
        <v>133.62943069049999</v>
      </c>
      <c r="K43" s="2">
        <f t="shared" si="5"/>
        <v>24.250436273610003</v>
      </c>
      <c r="L43" s="4">
        <v>0.20083011205026421</v>
      </c>
    </row>
    <row r="44" spans="1:13">
      <c r="A44" s="2">
        <v>10</v>
      </c>
      <c r="B44" s="2">
        <v>22.717780000000001</v>
      </c>
      <c r="C44" s="2">
        <f t="shared" si="6"/>
        <v>25.840554000000001</v>
      </c>
      <c r="E44" s="2">
        <v>142.583</v>
      </c>
      <c r="F44" s="2">
        <v>150.3706</v>
      </c>
      <c r="G44" s="2">
        <v>0.75792999999999999</v>
      </c>
      <c r="H44" s="2">
        <v>0.71</v>
      </c>
      <c r="I44" s="4">
        <f t="shared" si="7"/>
        <v>0.18123166155853082</v>
      </c>
      <c r="J44" s="2">
        <f t="shared" si="4"/>
        <v>108.06793318999999</v>
      </c>
      <c r="K44" s="2">
        <f t="shared" si="5"/>
        <v>19.585331093219999</v>
      </c>
      <c r="L44" s="4">
        <v>0.18136634451877301</v>
      </c>
    </row>
    <row r="45" spans="1:13">
      <c r="A45" s="2">
        <v>11</v>
      </c>
      <c r="B45" s="2">
        <v>-3.6613000000000002</v>
      </c>
      <c r="C45" s="2">
        <f t="shared" si="6"/>
        <v>52.219633999999999</v>
      </c>
      <c r="E45" s="2">
        <v>135.6035</v>
      </c>
      <c r="F45" s="2">
        <v>121.7424</v>
      </c>
      <c r="G45" s="2">
        <v>0.76353499999999996</v>
      </c>
      <c r="H45" s="2">
        <v>0.73</v>
      </c>
      <c r="I45" s="4">
        <f t="shared" si="7"/>
        <v>0.38509060606842743</v>
      </c>
      <c r="J45" s="2">
        <f t="shared" si="4"/>
        <v>103.53801837249999</v>
      </c>
      <c r="K45" s="2">
        <f t="shared" si="5"/>
        <v>39.87151824619</v>
      </c>
      <c r="L45" s="4">
        <v>0.28097909770675239</v>
      </c>
    </row>
    <row r="46" spans="1:13">
      <c r="A46" s="2">
        <v>12</v>
      </c>
      <c r="B46" s="2">
        <v>9.179316</v>
      </c>
      <c r="C46" s="2">
        <f t="shared" si="6"/>
        <v>39.379018000000002</v>
      </c>
      <c r="D46" s="2">
        <v>182.848063</v>
      </c>
      <c r="E46" s="2">
        <v>204.7996</v>
      </c>
      <c r="F46" s="2">
        <v>88.383870000000002</v>
      </c>
      <c r="G46" s="2">
        <v>0.74953000000000003</v>
      </c>
      <c r="H46" s="2">
        <v>0.72</v>
      </c>
      <c r="I46" s="4">
        <f t="shared" si="7"/>
        <v>0.19228073687643923</v>
      </c>
      <c r="J46" s="2">
        <f t="shared" si="4"/>
        <v>153.503444188</v>
      </c>
      <c r="K46" s="2">
        <f t="shared" si="5"/>
        <v>29.515755361540002</v>
      </c>
      <c r="L46" s="4">
        <v>0.26994584031904301</v>
      </c>
    </row>
    <row r="47" spans="1:13">
      <c r="A47" s="2">
        <v>1793</v>
      </c>
      <c r="B47" s="2">
        <v>8.3097619999999992</v>
      </c>
      <c r="C47" s="2">
        <f t="shared" si="6"/>
        <v>40.248572000000003</v>
      </c>
      <c r="E47" s="2">
        <v>177.98519999999999</v>
      </c>
      <c r="F47" s="2">
        <v>170.42060000000001</v>
      </c>
      <c r="G47" s="2">
        <v>0.66120199999999996</v>
      </c>
      <c r="H47" s="2">
        <v>0.51</v>
      </c>
      <c r="I47" s="4">
        <f t="shared" si="7"/>
        <v>0.22613437521771476</v>
      </c>
      <c r="J47" s="2">
        <f t="shared" si="4"/>
        <v>117.68417021039998</v>
      </c>
      <c r="K47" s="2">
        <f t="shared" si="5"/>
        <v>26.612436303544001</v>
      </c>
      <c r="L47" s="4">
        <v>0.20697181097152334</v>
      </c>
      <c r="M47" s="2">
        <f>SUM(J47:J58)</f>
        <v>1820.6124856026997</v>
      </c>
    </row>
    <row r="48" spans="1:13">
      <c r="A48" s="2">
        <v>2</v>
      </c>
      <c r="B48" s="2">
        <v>14.09665</v>
      </c>
      <c r="C48" s="2">
        <f t="shared" si="6"/>
        <v>34.461684000000005</v>
      </c>
      <c r="E48" s="2">
        <v>232.39089999999999</v>
      </c>
      <c r="F48" s="2">
        <v>142.73660000000001</v>
      </c>
      <c r="G48" s="2">
        <v>0.64875099999999997</v>
      </c>
      <c r="H48" s="2">
        <v>0.52</v>
      </c>
      <c r="I48" s="4">
        <f t="shared" si="7"/>
        <v>0.14829188234134816</v>
      </c>
      <c r="J48" s="2">
        <f t="shared" si="4"/>
        <v>150.76382876589997</v>
      </c>
      <c r="K48" s="2">
        <f t="shared" si="5"/>
        <v>22.357051956684003</v>
      </c>
      <c r="L48" s="4">
        <v>0.1824170358764764</v>
      </c>
    </row>
    <row r="49" spans="1:13">
      <c r="A49" s="2">
        <v>3</v>
      </c>
      <c r="B49" s="2">
        <v>13.339320000000001</v>
      </c>
      <c r="C49" s="2">
        <f t="shared" si="6"/>
        <v>35.219014000000001</v>
      </c>
      <c r="E49" s="2">
        <v>293.60849999999999</v>
      </c>
      <c r="F49" s="2">
        <v>202.92920000000001</v>
      </c>
      <c r="G49" s="2">
        <v>0.62930799999999998</v>
      </c>
      <c r="H49" s="2">
        <v>0.51</v>
      </c>
      <c r="I49" s="4">
        <f t="shared" si="7"/>
        <v>0.11995229702137371</v>
      </c>
      <c r="J49" s="2">
        <f t="shared" si="4"/>
        <v>184.770177918</v>
      </c>
      <c r="K49" s="2">
        <f t="shared" si="5"/>
        <v>22.163607262311999</v>
      </c>
      <c r="L49" s="4">
        <v>0.13268598214230501</v>
      </c>
    </row>
    <row r="50" spans="1:13">
      <c r="A50" s="2">
        <v>4</v>
      </c>
      <c r="B50" s="2">
        <v>10.465949999999999</v>
      </c>
      <c r="C50" s="2">
        <f t="shared" si="6"/>
        <v>38.092384000000003</v>
      </c>
      <c r="E50" s="2">
        <v>294.62569999999999</v>
      </c>
      <c r="F50" s="2">
        <v>263.3895</v>
      </c>
      <c r="G50" s="2">
        <v>0.57798000000000005</v>
      </c>
      <c r="H50" s="2">
        <v>0.43</v>
      </c>
      <c r="I50" s="4">
        <f t="shared" si="7"/>
        <v>0.12929077130745895</v>
      </c>
      <c r="J50" s="2">
        <f t="shared" si="4"/>
        <v>170.28776208600001</v>
      </c>
      <c r="K50" s="2">
        <f t="shared" si="5"/>
        <v>22.016636104320003</v>
      </c>
      <c r="L50" s="4">
        <v>0.12443108120926481</v>
      </c>
    </row>
    <row r="51" spans="1:13">
      <c r="A51" s="2">
        <v>5</v>
      </c>
      <c r="B51" s="2">
        <v>19.440709999999999</v>
      </c>
      <c r="C51" s="2">
        <f t="shared" si="6"/>
        <v>29.117624000000003</v>
      </c>
      <c r="D51" s="2">
        <v>332.99973699999998</v>
      </c>
      <c r="E51" s="2">
        <v>344.68119999999999</v>
      </c>
      <c r="F51" s="2">
        <v>261.5333</v>
      </c>
      <c r="G51" s="2">
        <v>0.57386999999999999</v>
      </c>
      <c r="H51" s="2">
        <v>0.52</v>
      </c>
      <c r="I51" s="4">
        <f t="shared" si="7"/>
        <v>8.4476971764053291E-2</v>
      </c>
      <c r="J51" s="2">
        <f t="shared" si="4"/>
        <v>197.80220024400001</v>
      </c>
      <c r="K51" s="2">
        <f t="shared" si="5"/>
        <v>16.709730884880003</v>
      </c>
      <c r="L51" s="4">
        <v>0.10520897321965288</v>
      </c>
    </row>
    <row r="52" spans="1:13">
      <c r="A52" s="2">
        <v>6</v>
      </c>
      <c r="B52" s="2">
        <v>22.816279999999999</v>
      </c>
      <c r="C52" s="2">
        <f t="shared" si="6"/>
        <v>25.742054000000003</v>
      </c>
      <c r="D52" s="2">
        <v>205.303347</v>
      </c>
      <c r="E52" s="2">
        <v>223.61539999999999</v>
      </c>
      <c r="F52" s="2">
        <v>320.56360000000001</v>
      </c>
      <c r="G52" s="2">
        <v>0.49493599999999999</v>
      </c>
      <c r="H52" s="2">
        <v>0.36</v>
      </c>
      <c r="I52" s="4">
        <f t="shared" si="7"/>
        <v>0.11511753662762048</v>
      </c>
      <c r="J52" s="2">
        <f t="shared" si="4"/>
        <v>110.67531161439999</v>
      </c>
      <c r="K52" s="2">
        <f t="shared" si="5"/>
        <v>12.740669238544001</v>
      </c>
      <c r="L52" s="4">
        <v>9.5470168784759196E-2</v>
      </c>
    </row>
    <row r="53" spans="1:13">
      <c r="A53" s="2">
        <v>7</v>
      </c>
      <c r="B53" s="2">
        <v>9.3756249999999994</v>
      </c>
      <c r="C53" s="2">
        <f t="shared" si="6"/>
        <v>39.182709000000003</v>
      </c>
      <c r="D53" s="2">
        <v>284.05617699999999</v>
      </c>
      <c r="E53" s="2">
        <v>292.42059999999998</v>
      </c>
      <c r="F53" s="2">
        <v>202.8734</v>
      </c>
      <c r="G53" s="2">
        <v>0.42933199999999999</v>
      </c>
      <c r="H53" s="2">
        <v>0.23</v>
      </c>
      <c r="I53" s="4">
        <f t="shared" si="7"/>
        <v>0.13399435265504553</v>
      </c>
      <c r="J53" s="2">
        <f t="shared" si="4"/>
        <v>125.54552103919998</v>
      </c>
      <c r="K53" s="2">
        <f t="shared" si="5"/>
        <v>16.822390820388001</v>
      </c>
      <c r="L53" s="4">
        <v>0.1251500967413996</v>
      </c>
    </row>
    <row r="54" spans="1:13">
      <c r="A54" s="2">
        <v>8</v>
      </c>
      <c r="B54" s="2">
        <v>21.017299999999999</v>
      </c>
      <c r="C54" s="2">
        <f t="shared" si="6"/>
        <v>27.541034000000003</v>
      </c>
      <c r="D54" s="2">
        <v>422.75361500000002</v>
      </c>
      <c r="E54" s="2">
        <v>427.74119999999999</v>
      </c>
      <c r="F54" s="2">
        <v>258.23790000000002</v>
      </c>
      <c r="G54" s="2">
        <v>0.40872199999999997</v>
      </c>
      <c r="H54" s="2">
        <v>0.22</v>
      </c>
      <c r="I54" s="4">
        <f t="shared" si="7"/>
        <v>6.4387143440940459E-2</v>
      </c>
      <c r="J54" s="2">
        <f t="shared" si="4"/>
        <v>174.82723874639998</v>
      </c>
      <c r="K54" s="2">
        <f t="shared" si="5"/>
        <v>11.256626498548</v>
      </c>
      <c r="L54" s="4">
        <v>9.3480571736858697E-2</v>
      </c>
    </row>
    <row r="55" spans="1:13">
      <c r="A55" s="2">
        <v>9</v>
      </c>
      <c r="B55" s="2">
        <v>18.51858</v>
      </c>
      <c r="C55" s="2">
        <f t="shared" si="6"/>
        <v>30.039754000000002</v>
      </c>
      <c r="D55" s="2">
        <v>423.670277</v>
      </c>
      <c r="E55" s="2">
        <v>433.01760000000002</v>
      </c>
      <c r="F55" s="2">
        <v>405.20010000000002</v>
      </c>
      <c r="G55" s="2">
        <v>0.41639999999999999</v>
      </c>
      <c r="H55" s="2">
        <v>0.27</v>
      </c>
      <c r="I55" s="4">
        <f t="shared" si="7"/>
        <v>6.9373055506288889E-2</v>
      </c>
      <c r="J55" s="2">
        <f t="shared" si="4"/>
        <v>180.30852863999999</v>
      </c>
      <c r="K55" s="2">
        <f t="shared" si="5"/>
        <v>12.5085535656</v>
      </c>
      <c r="L55" s="4">
        <v>6.6918576630696461E-2</v>
      </c>
    </row>
    <row r="56" spans="1:13">
      <c r="A56" s="2">
        <v>10</v>
      </c>
      <c r="B56" s="2">
        <v>11.604570000000001</v>
      </c>
      <c r="C56" s="2">
        <f t="shared" si="6"/>
        <v>36.953764</v>
      </c>
      <c r="E56" s="2">
        <v>222.62090000000001</v>
      </c>
      <c r="F56" s="2">
        <v>407.9778</v>
      </c>
      <c r="G56" s="2">
        <v>0.43245</v>
      </c>
      <c r="H56" s="2">
        <v>0.28000000000000003</v>
      </c>
      <c r="I56" s="4">
        <f t="shared" si="7"/>
        <v>0.16599413621991466</v>
      </c>
      <c r="J56" s="2">
        <f t="shared" si="4"/>
        <v>96.272408205000005</v>
      </c>
      <c r="K56" s="2">
        <f t="shared" si="5"/>
        <v>15.980655241799999</v>
      </c>
      <c r="L56" s="4">
        <v>0.10300496170264174</v>
      </c>
    </row>
    <row r="57" spans="1:13">
      <c r="A57" s="2">
        <v>11</v>
      </c>
      <c r="B57" s="2">
        <v>17.700810000000001</v>
      </c>
      <c r="C57" s="2">
        <f t="shared" si="6"/>
        <v>30.857524000000002</v>
      </c>
      <c r="E57" s="2">
        <v>297.08019999999999</v>
      </c>
      <c r="F57" s="2">
        <v>190.6671</v>
      </c>
      <c r="G57" s="2">
        <v>0.48763099999999998</v>
      </c>
      <c r="H57" s="2">
        <v>0.33</v>
      </c>
      <c r="I57" s="4">
        <f t="shared" si="7"/>
        <v>0.1038693389865767</v>
      </c>
      <c r="J57" s="2">
        <f t="shared" si="4"/>
        <v>144.86551500619998</v>
      </c>
      <c r="K57" s="2">
        <f t="shared" si="5"/>
        <v>15.047085285644</v>
      </c>
      <c r="L57" s="4">
        <v>0.12867217281401416</v>
      </c>
    </row>
    <row r="58" spans="1:13">
      <c r="A58" s="2">
        <v>12</v>
      </c>
      <c r="B58" s="2">
        <v>22.630700000000001</v>
      </c>
      <c r="C58" s="2">
        <f t="shared" si="6"/>
        <v>25.927634000000001</v>
      </c>
      <c r="E58" s="2">
        <v>301.19209999999998</v>
      </c>
      <c r="F58" s="2">
        <v>271.22269999999997</v>
      </c>
      <c r="G58" s="2">
        <v>0.55383199999999999</v>
      </c>
      <c r="H58" s="2">
        <v>0.48</v>
      </c>
      <c r="I58" s="4">
        <f t="shared" si="7"/>
        <v>8.6083380008971033E-2</v>
      </c>
      <c r="J58" s="2">
        <f t="shared" si="4"/>
        <v>166.80982312719999</v>
      </c>
      <c r="K58" s="2">
        <f t="shared" si="5"/>
        <v>14.359553393488001</v>
      </c>
      <c r="L58" s="4">
        <v>9.4350226281123606E-2</v>
      </c>
    </row>
    <row r="59" spans="1:13">
      <c r="A59" s="2">
        <v>1794</v>
      </c>
      <c r="B59" s="2">
        <v>1.2170669999999999</v>
      </c>
      <c r="C59" s="2">
        <f t="shared" si="6"/>
        <v>47.341267000000002</v>
      </c>
      <c r="E59" s="2">
        <v>232.93180000000001</v>
      </c>
      <c r="F59" s="2">
        <v>280.26440000000002</v>
      </c>
      <c r="G59" s="2">
        <v>0.50407599999999997</v>
      </c>
      <c r="H59" s="2">
        <v>0.4</v>
      </c>
      <c r="I59" s="4">
        <f t="shared" si="7"/>
        <v>0.20324089282785776</v>
      </c>
      <c r="J59" s="2">
        <f t="shared" si="4"/>
        <v>117.4153300168</v>
      </c>
      <c r="K59" s="2">
        <f t="shared" si="5"/>
        <v>23.863596504291998</v>
      </c>
      <c r="L59" s="4">
        <v>0.13448193966990177</v>
      </c>
      <c r="M59" s="2">
        <f>SUM(J59:J70)</f>
        <v>1194.2515597889001</v>
      </c>
    </row>
    <row r="60" spans="1:13">
      <c r="A60" s="2">
        <v>2</v>
      </c>
      <c r="B60" s="2">
        <v>3.263242</v>
      </c>
      <c r="C60" s="2">
        <f t="shared" si="6"/>
        <v>45.295092000000004</v>
      </c>
      <c r="D60" s="2">
        <v>169.25955099999999</v>
      </c>
      <c r="E60" s="2">
        <v>191.14420000000001</v>
      </c>
      <c r="F60" s="2">
        <v>190.59049999999999</v>
      </c>
      <c r="G60" s="2">
        <v>0.49587500000000001</v>
      </c>
      <c r="H60" s="2">
        <v>0.41</v>
      </c>
      <c r="I60" s="4">
        <f t="shared" si="7"/>
        <v>0.23696817376619328</v>
      </c>
      <c r="J60" s="2">
        <f t="shared" si="4"/>
        <v>94.783630175000013</v>
      </c>
      <c r="K60" s="2">
        <f t="shared" si="5"/>
        <v>22.460703745500002</v>
      </c>
      <c r="L60" s="4">
        <v>0.21830597194218535</v>
      </c>
    </row>
    <row r="61" spans="1:13">
      <c r="A61" s="2">
        <v>3</v>
      </c>
      <c r="B61" s="2">
        <v>19.899940000000001</v>
      </c>
      <c r="C61" s="2">
        <f t="shared" si="6"/>
        <v>28.658394000000001</v>
      </c>
      <c r="E61" s="2">
        <v>248.9051</v>
      </c>
      <c r="F61" s="2">
        <v>145.84909999999999</v>
      </c>
      <c r="G61" s="2">
        <v>0.461312</v>
      </c>
      <c r="H61" s="2">
        <v>0.36</v>
      </c>
      <c r="I61" s="4">
        <f t="shared" si="7"/>
        <v>0.11513783365628105</v>
      </c>
      <c r="J61" s="2">
        <f t="shared" si="4"/>
        <v>114.82290949120001</v>
      </c>
      <c r="K61" s="2">
        <f t="shared" si="5"/>
        <v>13.220461052928</v>
      </c>
      <c r="L61" s="4">
        <v>0.17022925360654551</v>
      </c>
    </row>
    <row r="62" spans="1:13">
      <c r="A62" s="2">
        <v>4</v>
      </c>
      <c r="B62" s="2">
        <v>-3.714302</v>
      </c>
      <c r="C62" s="2">
        <f t="shared" si="6"/>
        <v>52.272636000000006</v>
      </c>
      <c r="E62" s="2">
        <v>411.91379999999998</v>
      </c>
      <c r="F62" s="2">
        <v>220.2467</v>
      </c>
      <c r="G62" s="2">
        <v>0.44889200000000001</v>
      </c>
      <c r="H62" s="2">
        <v>0.36</v>
      </c>
      <c r="I62" s="4">
        <f t="shared" si="7"/>
        <v>0.12690188092751448</v>
      </c>
      <c r="J62" s="2">
        <f t="shared" si="4"/>
        <v>184.9048095096</v>
      </c>
      <c r="K62" s="2">
        <f t="shared" si="5"/>
        <v>23.464768119312001</v>
      </c>
      <c r="L62" s="4">
        <v>0.1223951835170176</v>
      </c>
    </row>
    <row r="63" spans="1:13">
      <c r="A63" s="2">
        <v>5</v>
      </c>
      <c r="B63" s="2">
        <f>E63-C63</f>
        <v>239.16399999999999</v>
      </c>
      <c r="C63" s="2">
        <v>44.255100000000027</v>
      </c>
      <c r="E63" s="2">
        <v>283.41910000000001</v>
      </c>
      <c r="F63" s="2">
        <v>359.64109999999999</v>
      </c>
      <c r="G63" s="2">
        <v>0.42982399999999998</v>
      </c>
      <c r="H63" s="2">
        <v>0.34</v>
      </c>
      <c r="I63" s="4">
        <f t="shared" si="7"/>
        <v>0.15614720391109854</v>
      </c>
      <c r="J63" s="2">
        <f t="shared" si="4"/>
        <v>121.8203312384</v>
      </c>
      <c r="K63" s="2">
        <f t="shared" si="5"/>
        <v>19.021904102400011</v>
      </c>
      <c r="L63" s="4">
        <v>0.13851708444277255</v>
      </c>
    </row>
    <row r="64" spans="1:13">
      <c r="A64" s="2">
        <v>6</v>
      </c>
      <c r="B64" s="2">
        <f>E64-C64</f>
        <v>174.83260000000001</v>
      </c>
      <c r="C64" s="2">
        <v>64.605499999999978</v>
      </c>
      <c r="E64" s="2">
        <v>239.43809999999999</v>
      </c>
      <c r="F64" s="2">
        <v>239.16399999999999</v>
      </c>
      <c r="G64" s="2">
        <v>0.40333200000000002</v>
      </c>
      <c r="H64" s="2">
        <v>0.3</v>
      </c>
      <c r="I64" s="4">
        <f t="shared" si="7"/>
        <v>0.26982130245771235</v>
      </c>
      <c r="J64" s="2">
        <f t="shared" si="4"/>
        <v>96.573047749200001</v>
      </c>
      <c r="K64" s="2">
        <f t="shared" si="5"/>
        <v>26.057465525999994</v>
      </c>
      <c r="L64" s="4">
        <v>0.20641362772705454</v>
      </c>
    </row>
    <row r="65" spans="1:14">
      <c r="A65" s="2">
        <v>7</v>
      </c>
      <c r="B65" s="2">
        <f>E65-C65</f>
        <v>226.69059999999999</v>
      </c>
      <c r="C65" s="2">
        <v>39.0916</v>
      </c>
      <c r="E65" s="2">
        <v>265.78219999999999</v>
      </c>
      <c r="F65" s="2">
        <v>0</v>
      </c>
      <c r="G65" s="2">
        <v>0.41594199999999998</v>
      </c>
      <c r="H65" s="2">
        <v>0.34</v>
      </c>
      <c r="I65" s="4">
        <f t="shared" si="7"/>
        <v>0.14708133200793733</v>
      </c>
      <c r="J65" s="2">
        <f t="shared" si="4"/>
        <v>110.54997983239998</v>
      </c>
      <c r="K65" s="2">
        <f t="shared" si="5"/>
        <v>16.259838287199997</v>
      </c>
      <c r="L65" s="4">
        <v>0.20430999057566546</v>
      </c>
    </row>
    <row r="66" spans="1:14">
      <c r="A66" s="2">
        <v>8</v>
      </c>
      <c r="B66" s="2">
        <f>E66-C66</f>
        <v>193.02709999999999</v>
      </c>
      <c r="C66" s="2">
        <v>54.13900000000001</v>
      </c>
      <c r="E66" s="2">
        <v>247.1661</v>
      </c>
      <c r="F66" s="2">
        <v>174.83260000000001</v>
      </c>
      <c r="G66" s="2">
        <v>0.393513</v>
      </c>
      <c r="H66" s="2">
        <v>0.31</v>
      </c>
      <c r="I66" s="4">
        <f t="shared" si="7"/>
        <v>0.21903893778313455</v>
      </c>
      <c r="J66" s="2">
        <f t="shared" si="4"/>
        <v>97.2630735093</v>
      </c>
      <c r="K66" s="2">
        <f t="shared" si="5"/>
        <v>21.304400307000005</v>
      </c>
      <c r="L66" s="4">
        <v>0.18075976455836196</v>
      </c>
    </row>
    <row r="67" spans="1:14">
      <c r="A67" s="2">
        <v>9</v>
      </c>
      <c r="F67" s="2">
        <v>226.69059999999999</v>
      </c>
      <c r="G67" s="2">
        <v>0.36680699999999999</v>
      </c>
      <c r="H67" s="2">
        <v>0.28000000000000003</v>
      </c>
    </row>
    <row r="68" spans="1:14">
      <c r="A68" s="2">
        <v>10</v>
      </c>
      <c r="B68" s="2">
        <f t="shared" ref="B68:B74" si="8">E68-C68</f>
        <v>201.77590000000001</v>
      </c>
      <c r="C68" s="2">
        <v>41.742799999999988</v>
      </c>
      <c r="E68" s="2">
        <v>243.5187</v>
      </c>
      <c r="F68" s="2">
        <v>193.02709999999999</v>
      </c>
      <c r="G68" s="2">
        <v>0.35040399999999999</v>
      </c>
      <c r="H68" s="2">
        <v>0.28000000000000003</v>
      </c>
      <c r="I68" s="4">
        <f t="shared" ref="I68:I74" si="9">C68/E68</f>
        <v>0.17141517263355951</v>
      </c>
      <c r="J68" s="2">
        <f t="shared" ref="J68:J85" si="10">E68*G68</f>
        <v>85.329926554799997</v>
      </c>
      <c r="K68" s="2">
        <f t="shared" ref="K68:K74" si="11">C68*G68</f>
        <v>14.626844091199995</v>
      </c>
      <c r="L68" s="4">
        <v>0.17141517263355951</v>
      </c>
    </row>
    <row r="69" spans="1:14">
      <c r="A69" s="2">
        <v>11</v>
      </c>
      <c r="B69" s="2">
        <f t="shared" si="8"/>
        <v>248.47450000000001</v>
      </c>
      <c r="C69" s="2">
        <v>46.410999999999973</v>
      </c>
      <c r="E69" s="2">
        <v>294.88549999999998</v>
      </c>
      <c r="F69" s="2">
        <v>201.77590000000001</v>
      </c>
      <c r="G69" s="2">
        <v>0.31905</v>
      </c>
      <c r="H69" s="2">
        <v>0.24</v>
      </c>
      <c r="I69" s="4">
        <f t="shared" si="9"/>
        <v>0.15738651103563917</v>
      </c>
      <c r="J69" s="2">
        <f t="shared" si="10"/>
        <v>94.083218774999992</v>
      </c>
      <c r="K69" s="2">
        <f t="shared" si="11"/>
        <v>14.807429549999991</v>
      </c>
      <c r="L69" s="4">
        <v>0.16405862339180027</v>
      </c>
    </row>
    <row r="70" spans="1:14">
      <c r="A70" s="2">
        <v>12</v>
      </c>
      <c r="B70" s="2">
        <f t="shared" si="8"/>
        <v>218.77947499999999</v>
      </c>
      <c r="C70" s="2">
        <v>49.724125000000015</v>
      </c>
      <c r="E70" s="2">
        <v>268.50360000000001</v>
      </c>
      <c r="F70" s="2">
        <v>248.47450000000001</v>
      </c>
      <c r="G70" s="2">
        <v>0.28567700000000001</v>
      </c>
      <c r="H70" s="2">
        <v>0.2</v>
      </c>
      <c r="I70" s="4">
        <f t="shared" si="9"/>
        <v>0.18518978888923654</v>
      </c>
      <c r="J70" s="2">
        <f t="shared" si="10"/>
        <v>76.705302937200003</v>
      </c>
      <c r="K70" s="2">
        <f t="shared" si="11"/>
        <v>14.205038857625006</v>
      </c>
      <c r="L70" s="4">
        <v>0.16987364324468265</v>
      </c>
    </row>
    <row r="71" spans="1:14">
      <c r="A71" s="2">
        <v>1795</v>
      </c>
      <c r="B71" s="2">
        <f t="shared" si="8"/>
        <v>371.20567599999998</v>
      </c>
      <c r="C71" s="2">
        <v>57.168723999999997</v>
      </c>
      <c r="E71" s="2">
        <v>428.37439999999998</v>
      </c>
      <c r="F71" s="2">
        <v>218.77947499999999</v>
      </c>
      <c r="G71" s="2">
        <v>0.24984999999999999</v>
      </c>
      <c r="H71" s="2">
        <v>0.18</v>
      </c>
      <c r="I71" s="4">
        <f t="shared" si="9"/>
        <v>0.13345504306513181</v>
      </c>
      <c r="J71" s="2">
        <f t="shared" si="10"/>
        <v>107.02934384</v>
      </c>
      <c r="K71" s="2">
        <f t="shared" si="11"/>
        <v>14.283605691399998</v>
      </c>
      <c r="L71" s="4">
        <v>0.15505319790649424</v>
      </c>
    </row>
    <row r="72" spans="1:14">
      <c r="A72" s="2">
        <v>2</v>
      </c>
      <c r="B72" s="2">
        <f t="shared" si="8"/>
        <v>443.16489999999999</v>
      </c>
      <c r="C72" s="2">
        <v>60.584000000000003</v>
      </c>
      <c r="E72" s="2">
        <v>503.74889999999999</v>
      </c>
      <c r="F72" s="2">
        <v>371.20567599999998</v>
      </c>
      <c r="G72" s="2">
        <v>0.222277</v>
      </c>
      <c r="H72" s="2">
        <v>0.17</v>
      </c>
      <c r="I72" s="4">
        <f t="shared" si="9"/>
        <v>0.12026626757894658</v>
      </c>
      <c r="J72" s="2">
        <f t="shared" si="10"/>
        <v>111.9717942453</v>
      </c>
      <c r="K72" s="2">
        <f t="shared" si="11"/>
        <v>13.466429768000001</v>
      </c>
      <c r="L72" s="4">
        <v>0.12671183219418466</v>
      </c>
    </row>
    <row r="73" spans="1:14">
      <c r="A73" s="2">
        <v>3</v>
      </c>
      <c r="B73" s="2">
        <f t="shared" si="8"/>
        <v>421.7713</v>
      </c>
      <c r="C73" s="2">
        <v>157.56290000000001</v>
      </c>
      <c r="E73" s="2">
        <v>579.33420000000001</v>
      </c>
      <c r="F73" s="2">
        <v>443.16489999999999</v>
      </c>
      <c r="G73" s="2">
        <v>0.18820700000000001</v>
      </c>
      <c r="H73" s="2">
        <v>0.14000000000000001</v>
      </c>
      <c r="I73" s="4">
        <f t="shared" si="9"/>
        <v>0.2719723779469605</v>
      </c>
      <c r="J73" s="2">
        <f t="shared" si="10"/>
        <v>109.03475177940001</v>
      </c>
      <c r="K73" s="2">
        <f t="shared" si="11"/>
        <v>29.654440720300006</v>
      </c>
      <c r="L73" s="4">
        <v>0.19511128183271439</v>
      </c>
    </row>
    <row r="74" spans="1:14">
      <c r="A74" s="2">
        <v>4</v>
      </c>
      <c r="B74" s="2">
        <f t="shared" si="8"/>
        <v>637.83780000000002</v>
      </c>
      <c r="C74" s="2">
        <v>179.19589999999994</v>
      </c>
      <c r="E74" s="2">
        <v>817.03369999999995</v>
      </c>
      <c r="F74" s="2">
        <v>421.7713</v>
      </c>
      <c r="G74" s="2">
        <v>0.143404</v>
      </c>
      <c r="H74" s="2">
        <v>0.1100917</v>
      </c>
      <c r="I74" s="4">
        <f t="shared" si="9"/>
        <v>0.21932498010791959</v>
      </c>
      <c r="J74" s="2">
        <f t="shared" si="10"/>
        <v>117.1659007148</v>
      </c>
      <c r="K74" s="2">
        <f t="shared" si="11"/>
        <v>25.697408843599991</v>
      </c>
      <c r="L74" s="4">
        <v>0.24470243102114511</v>
      </c>
      <c r="M74" s="2">
        <f>SUM(J39:J78)</f>
        <v>4542.7952478674297</v>
      </c>
      <c r="N74" s="2">
        <f>SUM(K39:K78)</f>
        <v>719.01071668484292</v>
      </c>
    </row>
    <row r="75" spans="1:14">
      <c r="A75" s="2">
        <v>5</v>
      </c>
      <c r="E75" s="2">
        <v>413.09859999999998</v>
      </c>
      <c r="F75" s="2">
        <v>637.83780000000002</v>
      </c>
      <c r="G75" s="2">
        <v>9.0285000000000004E-2</v>
      </c>
      <c r="H75" s="2">
        <v>6.0150380000000003E-2</v>
      </c>
      <c r="J75" s="2">
        <f t="shared" si="10"/>
        <v>37.296607100999999</v>
      </c>
    </row>
    <row r="76" spans="1:14">
      <c r="A76" s="2">
        <v>6</v>
      </c>
      <c r="E76" s="2">
        <v>1319.114</v>
      </c>
      <c r="G76" s="2">
        <v>5.4204000000000002E-2</v>
      </c>
      <c r="H76" s="2">
        <v>2.9593100000000001E-2</v>
      </c>
      <c r="J76" s="2">
        <f t="shared" si="10"/>
        <v>71.501255256000007</v>
      </c>
    </row>
    <row r="77" spans="1:14">
      <c r="A77" s="2">
        <v>7</v>
      </c>
      <c r="E77" s="2">
        <v>2448.17</v>
      </c>
      <c r="G77" s="2">
        <v>4.5725000000000002E-2</v>
      </c>
      <c r="H77" s="2">
        <v>3.1496059999999999E-2</v>
      </c>
      <c r="J77" s="2">
        <f t="shared" si="10"/>
        <v>111.94257325000001</v>
      </c>
    </row>
    <row r="78" spans="1:14">
      <c r="A78" s="2">
        <v>8</v>
      </c>
      <c r="E78" s="2">
        <v>1647</v>
      </c>
      <c r="G78" s="2">
        <v>3.7850000000000002E-2</v>
      </c>
      <c r="H78" s="2">
        <v>2.8235300000000001E-2</v>
      </c>
      <c r="J78" s="2">
        <f t="shared" si="10"/>
        <v>62.338950000000004</v>
      </c>
    </row>
    <row r="79" spans="1:14">
      <c r="A79" s="2">
        <v>9</v>
      </c>
      <c r="E79" s="2">
        <v>1801.511</v>
      </c>
      <c r="G79" s="2">
        <v>2.9104999999999999E-2</v>
      </c>
      <c r="H79" s="2">
        <v>2.099738E-2</v>
      </c>
      <c r="J79" s="2">
        <f t="shared" si="10"/>
        <v>52.432977654999995</v>
      </c>
    </row>
    <row r="80" spans="1:14">
      <c r="A80" s="2">
        <v>10</v>
      </c>
      <c r="E80" s="2">
        <v>2191.029</v>
      </c>
      <c r="G80" s="2">
        <v>2.1045999999999999E-2</v>
      </c>
      <c r="H80" s="2">
        <v>1.437126E-2</v>
      </c>
      <c r="J80" s="2">
        <f t="shared" si="10"/>
        <v>46.112396333999996</v>
      </c>
    </row>
    <row r="81" spans="1:10">
      <c r="A81" s="2">
        <v>11</v>
      </c>
      <c r="E81" s="2">
        <v>2893.9609999999998</v>
      </c>
      <c r="G81" s="2">
        <v>1.2354E-2</v>
      </c>
      <c r="H81" s="2">
        <v>7.2617250000000001E-3</v>
      </c>
      <c r="J81" s="2">
        <f t="shared" si="10"/>
        <v>35.751994193999998</v>
      </c>
    </row>
    <row r="82" spans="1:10">
      <c r="A82" s="2">
        <v>12</v>
      </c>
      <c r="E82" s="2">
        <v>1317.27</v>
      </c>
      <c r="G82" s="2">
        <v>7.8890000000000002E-3</v>
      </c>
      <c r="H82" s="2">
        <v>4.8241209999999998E-3</v>
      </c>
      <c r="J82" s="2">
        <f t="shared" si="10"/>
        <v>10.39194303</v>
      </c>
    </row>
    <row r="83" spans="1:10">
      <c r="A83" s="2">
        <v>1796</v>
      </c>
      <c r="E83" s="2">
        <v>9378.2909999999993</v>
      </c>
      <c r="G83" s="2">
        <v>6.5970000000000004E-3</v>
      </c>
      <c r="H83" s="2">
        <v>4.5112779999999996E-3</v>
      </c>
      <c r="J83" s="2">
        <f t="shared" si="10"/>
        <v>61.868585726999996</v>
      </c>
    </row>
    <row r="84" spans="1:10">
      <c r="A84" s="2">
        <v>2</v>
      </c>
      <c r="E84" s="2">
        <v>2243.09</v>
      </c>
      <c r="G84" s="2">
        <v>5.0169999999999998E-3</v>
      </c>
      <c r="H84" s="2">
        <v>2.8402369999999998E-3</v>
      </c>
      <c r="J84" s="2">
        <f t="shared" si="10"/>
        <v>11.253582530000001</v>
      </c>
    </row>
    <row r="85" spans="1:10">
      <c r="A85" s="2">
        <v>3</v>
      </c>
      <c r="E85" s="2">
        <v>1853.18</v>
      </c>
      <c r="G85" s="2">
        <v>4.5900000000000003E-3</v>
      </c>
      <c r="H85" s="2">
        <v>3.9337809999999999E-3</v>
      </c>
      <c r="J85" s="2">
        <f t="shared" si="10"/>
        <v>8.5060962000000018</v>
      </c>
    </row>
    <row r="86" spans="1:10">
      <c r="A86" s="2">
        <v>4</v>
      </c>
      <c r="H86" s="2">
        <v>4.03361E-3</v>
      </c>
    </row>
    <row r="87" spans="1:10">
      <c r="A87" s="2">
        <v>5</v>
      </c>
      <c r="H87" s="2">
        <v>2.7907000000000001E-3</v>
      </c>
    </row>
    <row r="88" spans="1:10">
      <c r="A88" s="2">
        <v>6</v>
      </c>
      <c r="H88" s="2">
        <v>1.3833000000000001E-3</v>
      </c>
    </row>
    <row r="89" spans="1:10">
      <c r="A89" s="2">
        <v>7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2"/>
  <sheetViews>
    <sheetView zoomScaleSheetLayoutView="1" workbookViewId="0"/>
  </sheetViews>
  <sheetFormatPr defaultRowHeight="12.75"/>
  <cols>
    <col min="1" max="17" width="9.140625" style="2"/>
    <col min="18" max="16384" width="9.140625" style="1"/>
  </cols>
  <sheetData>
    <row r="1" spans="1:17">
      <c r="B1" s="2" t="s">
        <v>301</v>
      </c>
      <c r="C1" s="2" t="s">
        <v>309</v>
      </c>
      <c r="D1" s="2" t="s">
        <v>299</v>
      </c>
      <c r="E1" s="2" t="s">
        <v>309</v>
      </c>
      <c r="F1" s="2" t="s">
        <v>297</v>
      </c>
      <c r="G1" s="2" t="s">
        <v>296</v>
      </c>
      <c r="H1" s="2" t="s">
        <v>308</v>
      </c>
      <c r="I1" s="2" t="s">
        <v>295</v>
      </c>
      <c r="J1" s="2" t="s">
        <v>307</v>
      </c>
      <c r="K1" s="2" t="s">
        <v>74</v>
      </c>
      <c r="L1" s="2" t="s">
        <v>293</v>
      </c>
      <c r="M1" s="2" t="s">
        <v>306</v>
      </c>
      <c r="N1" s="2" t="s">
        <v>305</v>
      </c>
      <c r="O1" s="2" t="s">
        <v>304</v>
      </c>
      <c r="P1" s="2" t="s">
        <v>73</v>
      </c>
      <c r="Q1" s="2" t="s">
        <v>72</v>
      </c>
    </row>
    <row r="2" spans="1:17">
      <c r="A2" s="2" t="s">
        <v>303</v>
      </c>
      <c r="I2" s="2" t="s">
        <v>302</v>
      </c>
    </row>
    <row r="4" spans="1:17">
      <c r="Q4" s="2">
        <v>0.97</v>
      </c>
    </row>
    <row r="5" spans="1:17">
      <c r="A5" s="2" t="s">
        <v>0</v>
      </c>
      <c r="L5" s="2">
        <v>90</v>
      </c>
      <c r="M5" s="2">
        <v>90</v>
      </c>
      <c r="Q5" s="2">
        <v>0.96</v>
      </c>
    </row>
    <row r="6" spans="1:17">
      <c r="A6" s="2" t="s">
        <v>18</v>
      </c>
      <c r="L6" s="2">
        <v>105</v>
      </c>
      <c r="M6" s="2">
        <v>105</v>
      </c>
      <c r="Q6" s="2">
        <v>0.95</v>
      </c>
    </row>
    <row r="7" spans="1:17">
      <c r="A7" s="2">
        <v>1790</v>
      </c>
      <c r="L7" s="2">
        <v>124</v>
      </c>
      <c r="M7" s="2">
        <v>124</v>
      </c>
      <c r="N7" s="2">
        <v>24</v>
      </c>
      <c r="Q7" s="2">
        <v>0.96</v>
      </c>
    </row>
    <row r="8" spans="1:17">
      <c r="A8" s="2" t="s">
        <v>15</v>
      </c>
      <c r="L8" s="2">
        <v>142</v>
      </c>
      <c r="M8" s="2">
        <v>142</v>
      </c>
      <c r="N8" s="2">
        <v>18</v>
      </c>
      <c r="Q8" s="2">
        <v>0.95</v>
      </c>
    </row>
    <row r="9" spans="1:17">
      <c r="A9" s="2" t="s">
        <v>13</v>
      </c>
      <c r="L9" s="2">
        <v>170</v>
      </c>
      <c r="M9" s="2">
        <v>170</v>
      </c>
      <c r="N9" s="2">
        <v>28</v>
      </c>
      <c r="Q9" s="2">
        <v>0.94</v>
      </c>
    </row>
    <row r="10" spans="1:17">
      <c r="A10" s="2" t="s">
        <v>11</v>
      </c>
      <c r="L10" s="2">
        <f>M10*1.00125</f>
        <v>190.23749999999998</v>
      </c>
      <c r="M10" s="2">
        <v>190</v>
      </c>
      <c r="N10" s="2">
        <v>20</v>
      </c>
      <c r="Q10" s="2">
        <v>0.94</v>
      </c>
    </row>
    <row r="11" spans="1:17">
      <c r="A11" s="2" t="s">
        <v>7</v>
      </c>
      <c r="L11" s="2">
        <f>M11*1.00375</f>
        <v>212.79499999999999</v>
      </c>
      <c r="M11" s="2">
        <v>212</v>
      </c>
      <c r="N11" s="2">
        <v>22</v>
      </c>
      <c r="Q11" s="2">
        <v>0.94</v>
      </c>
    </row>
    <row r="12" spans="1:17">
      <c r="A12" s="2" t="s">
        <v>5</v>
      </c>
      <c r="L12" s="2">
        <f>M12*1.00625</f>
        <v>258.60625000000005</v>
      </c>
      <c r="M12" s="2">
        <v>257</v>
      </c>
      <c r="N12" s="2">
        <v>45</v>
      </c>
      <c r="Q12" s="2">
        <v>0.95</v>
      </c>
    </row>
    <row r="13" spans="1:17">
      <c r="A13" s="2" t="s">
        <v>4</v>
      </c>
      <c r="C13" s="2">
        <v>230</v>
      </c>
      <c r="L13" s="2">
        <f>M13*1.00875</f>
        <v>307.66874999999999</v>
      </c>
      <c r="M13" s="2">
        <v>305</v>
      </c>
      <c r="N13" s="2">
        <v>48</v>
      </c>
      <c r="Q13" s="2">
        <v>0.95</v>
      </c>
    </row>
    <row r="14" spans="1:17">
      <c r="A14" s="2" t="s">
        <v>3</v>
      </c>
      <c r="L14" s="2">
        <f>M14*1.01125</f>
        <v>348.88124999999997</v>
      </c>
      <c r="M14" s="2">
        <v>345</v>
      </c>
      <c r="N14" s="2">
        <v>40</v>
      </c>
      <c r="Q14" s="2">
        <v>0.92</v>
      </c>
    </row>
    <row r="15" spans="1:17">
      <c r="A15" s="2" t="s">
        <v>2</v>
      </c>
      <c r="C15" s="2">
        <v>164.3451</v>
      </c>
      <c r="L15" s="2">
        <f>M15*1.01375</f>
        <v>390.29374999999999</v>
      </c>
      <c r="M15" s="2">
        <v>385</v>
      </c>
      <c r="N15" s="2">
        <v>40</v>
      </c>
      <c r="Q15" s="2">
        <v>0.91</v>
      </c>
    </row>
    <row r="16" spans="1:17">
      <c r="A16" s="2" t="s">
        <v>1</v>
      </c>
      <c r="L16" s="2">
        <f>400*1.015+31.095</f>
        <v>437.09499999999991</v>
      </c>
      <c r="M16" s="2">
        <v>431.09500000000003</v>
      </c>
      <c r="N16" s="2">
        <v>48.594999999999999</v>
      </c>
      <c r="Q16" s="2">
        <v>0.91</v>
      </c>
    </row>
    <row r="17" spans="1:17">
      <c r="A17" s="2" t="s">
        <v>0</v>
      </c>
      <c r="L17" s="2">
        <v>485.09500000000003</v>
      </c>
      <c r="M17" s="2">
        <v>479.09500000000003</v>
      </c>
      <c r="N17" s="2">
        <v>49.84</v>
      </c>
      <c r="Q17" s="2">
        <v>0.9</v>
      </c>
    </row>
    <row r="18" spans="1:17">
      <c r="A18" s="2" t="s">
        <v>18</v>
      </c>
      <c r="G18" s="2">
        <v>529.09500000000003</v>
      </c>
      <c r="K18" s="2">
        <v>1</v>
      </c>
      <c r="L18" s="2">
        <v>529.09500000000003</v>
      </c>
      <c r="M18" s="2">
        <v>524.09500000000003</v>
      </c>
      <c r="N18" s="2">
        <v>47</v>
      </c>
      <c r="Q18" s="2">
        <v>0.92</v>
      </c>
    </row>
    <row r="19" spans="1:17">
      <c r="A19" s="2">
        <f>A7+1</f>
        <v>1791</v>
      </c>
      <c r="B19" s="2">
        <v>302.28120000000001</v>
      </c>
      <c r="C19" s="2">
        <f t="shared" ref="C19:C37" si="0">400-B19</f>
        <v>97.718799999999987</v>
      </c>
      <c r="D19" s="2">
        <v>2.1531090000000002</v>
      </c>
      <c r="E19" s="2">
        <f t="shared" ref="E19:E37" si="1">7.656578-D19</f>
        <v>5.5034689999999991</v>
      </c>
      <c r="F19" s="2">
        <v>45.637872000000002</v>
      </c>
      <c r="G19" s="2">
        <f>G20-121.411431</f>
        <v>528.28318200000001</v>
      </c>
      <c r="H19" s="4">
        <f t="shared" ref="H19:H37" si="2">F19/G19</f>
        <v>8.6389030646824572E-2</v>
      </c>
      <c r="I19" s="2">
        <v>179.37988999999999</v>
      </c>
      <c r="K19" s="2">
        <v>4</v>
      </c>
      <c r="L19" s="2">
        <f t="shared" ref="L19:L37" si="3">G19-K19+E19+C19</f>
        <v>627.50545099999999</v>
      </c>
      <c r="M19" s="2">
        <v>604.84</v>
      </c>
      <c r="N19" s="2">
        <v>63.744999999999997</v>
      </c>
      <c r="P19" s="2">
        <v>0.96670800000000001</v>
      </c>
      <c r="Q19" s="2">
        <v>0.91</v>
      </c>
    </row>
    <row r="20" spans="1:17">
      <c r="A20" s="2" t="s">
        <v>15</v>
      </c>
      <c r="B20" s="2">
        <v>315.41660000000002</v>
      </c>
      <c r="C20" s="2">
        <f t="shared" si="0"/>
        <v>84.583399999999983</v>
      </c>
      <c r="D20" s="2">
        <v>2.880172</v>
      </c>
      <c r="E20" s="2">
        <f t="shared" si="1"/>
        <v>4.7764059999999997</v>
      </c>
      <c r="F20" s="2">
        <v>71.905840999999995</v>
      </c>
      <c r="G20" s="2">
        <v>649.694613</v>
      </c>
      <c r="H20" s="4">
        <f t="shared" si="2"/>
        <v>0.11067636942219805</v>
      </c>
      <c r="I20" s="2">
        <v>260.66088999999999</v>
      </c>
      <c r="J20" s="2">
        <f t="shared" ref="J20:J37" si="4">I20-I19</f>
        <v>81.281000000000006</v>
      </c>
      <c r="K20" s="2">
        <v>15</v>
      </c>
      <c r="L20" s="2">
        <f t="shared" si="3"/>
        <v>724.05441899999994</v>
      </c>
      <c r="M20" s="2">
        <v>712.11850000000004</v>
      </c>
      <c r="N20" s="2">
        <v>76.820999999999998</v>
      </c>
      <c r="P20" s="2">
        <v>0.96379800000000004</v>
      </c>
      <c r="Q20" s="2">
        <v>0.91</v>
      </c>
    </row>
    <row r="21" spans="1:17">
      <c r="A21" s="2" t="s">
        <v>13</v>
      </c>
      <c r="B21" s="2">
        <v>329.2912</v>
      </c>
      <c r="C21" s="2">
        <f t="shared" si="0"/>
        <v>70.708799999999997</v>
      </c>
      <c r="D21" s="2">
        <v>3.5587360000000001</v>
      </c>
      <c r="E21" s="2">
        <f t="shared" si="1"/>
        <v>4.097842</v>
      </c>
      <c r="F21" s="2">
        <v>135.31730200000001</v>
      </c>
      <c r="G21" s="2">
        <v>777.06423900000004</v>
      </c>
      <c r="H21" s="4">
        <f t="shared" si="2"/>
        <v>0.17413914475608755</v>
      </c>
      <c r="I21" s="2">
        <v>310.06589000000002</v>
      </c>
      <c r="J21" s="2">
        <f t="shared" si="4"/>
        <v>49.40500000000003</v>
      </c>
      <c r="K21" s="2">
        <v>42</v>
      </c>
      <c r="L21" s="2">
        <f t="shared" si="3"/>
        <v>809.87088100000005</v>
      </c>
      <c r="M21" s="2">
        <v>789.39499999999998</v>
      </c>
      <c r="N21" s="2">
        <v>46.819000000000003</v>
      </c>
      <c r="P21" s="2">
        <v>0.95771700000000004</v>
      </c>
      <c r="Q21" s="2">
        <v>0.9</v>
      </c>
    </row>
    <row r="22" spans="1:17">
      <c r="A22" s="2" t="s">
        <v>11</v>
      </c>
      <c r="B22" s="2">
        <v>340.07159999999999</v>
      </c>
      <c r="C22" s="2">
        <f t="shared" si="0"/>
        <v>59.928400000000011</v>
      </c>
      <c r="D22" s="2">
        <v>4.1139599999999996</v>
      </c>
      <c r="E22" s="2">
        <f t="shared" si="1"/>
        <v>3.542618</v>
      </c>
      <c r="F22" s="2">
        <v>217.887565</v>
      </c>
      <c r="G22" s="2">
        <v>925.97012400000006</v>
      </c>
      <c r="H22" s="4">
        <f t="shared" si="2"/>
        <v>0.23530733805834969</v>
      </c>
      <c r="I22" s="2">
        <v>365.06589000000002</v>
      </c>
      <c r="J22" s="2">
        <f t="shared" si="4"/>
        <v>55</v>
      </c>
      <c r="K22" s="2">
        <v>90</v>
      </c>
      <c r="L22" s="2">
        <f t="shared" si="3"/>
        <v>899.44114200000001</v>
      </c>
      <c r="M22" s="2">
        <v>892.13250000000005</v>
      </c>
      <c r="N22" s="2">
        <v>72.28</v>
      </c>
      <c r="P22" s="2">
        <v>0.95040599999999997</v>
      </c>
      <c r="Q22" s="2">
        <v>0.89</v>
      </c>
    </row>
    <row r="23" spans="1:17">
      <c r="A23" s="2" t="s">
        <v>7</v>
      </c>
      <c r="B23" s="2">
        <v>348.43380000000002</v>
      </c>
      <c r="C23" s="2">
        <f t="shared" si="0"/>
        <v>51.566199999999981</v>
      </c>
      <c r="D23" s="2">
        <v>4.6104789999999998</v>
      </c>
      <c r="E23" s="2">
        <f t="shared" si="1"/>
        <v>3.0460989999999999</v>
      </c>
      <c r="F23" s="2">
        <v>298.23261100000002</v>
      </c>
      <c r="G23" s="2">
        <v>1060.715273</v>
      </c>
      <c r="H23" s="4">
        <f t="shared" si="2"/>
        <v>0.28116179581021267</v>
      </c>
      <c r="I23" s="2">
        <v>409.43840299999999</v>
      </c>
      <c r="J23" s="2">
        <f t="shared" si="4"/>
        <v>44.372512999999969</v>
      </c>
      <c r="K23" s="2">
        <v>129</v>
      </c>
      <c r="L23" s="2">
        <f t="shared" si="3"/>
        <v>986.32757200000003</v>
      </c>
      <c r="M23" s="2">
        <v>982.83100000000002</v>
      </c>
      <c r="N23" s="2">
        <v>60.235599999999998</v>
      </c>
      <c r="P23" s="2">
        <v>0.93571700000000002</v>
      </c>
      <c r="Q23" s="2">
        <v>0.85000010000000004</v>
      </c>
    </row>
    <row r="24" spans="1:17">
      <c r="A24" s="2" t="s">
        <v>5</v>
      </c>
      <c r="B24" s="2">
        <v>354.55430000000001</v>
      </c>
      <c r="C24" s="2">
        <f t="shared" si="0"/>
        <v>45.445699999999988</v>
      </c>
      <c r="D24" s="2">
        <v>4.9833629999999998</v>
      </c>
      <c r="E24" s="2">
        <f t="shared" si="1"/>
        <v>2.6732149999999999</v>
      </c>
      <c r="F24" s="2">
        <v>346.33861000000002</v>
      </c>
      <c r="G24" s="2">
        <v>1164.7693039999999</v>
      </c>
      <c r="H24" s="4">
        <f t="shared" si="2"/>
        <v>0.29734524150887137</v>
      </c>
      <c r="I24" s="2">
        <v>458.85136399999999</v>
      </c>
      <c r="J24" s="2">
        <f t="shared" si="4"/>
        <v>49.412960999999996</v>
      </c>
      <c r="K24" s="2">
        <v>170</v>
      </c>
      <c r="L24" s="2">
        <f t="shared" si="3"/>
        <v>1042.8882189999999</v>
      </c>
      <c r="M24" s="2">
        <v>1029.8309999999999</v>
      </c>
      <c r="N24" s="2">
        <v>49.412799999999997</v>
      </c>
      <c r="P24" s="2">
        <v>0.929504</v>
      </c>
      <c r="Q24" s="2">
        <v>0.85000010000000004</v>
      </c>
    </row>
    <row r="25" spans="1:17">
      <c r="A25" s="2" t="s">
        <v>4</v>
      </c>
      <c r="B25" s="2">
        <v>359.86130000000003</v>
      </c>
      <c r="C25" s="2">
        <f t="shared" si="0"/>
        <v>40.138699999999972</v>
      </c>
      <c r="D25" s="2">
        <v>5.2477919999999996</v>
      </c>
      <c r="E25" s="2">
        <f t="shared" si="1"/>
        <v>2.4087860000000001</v>
      </c>
      <c r="F25" s="2">
        <v>396.76992899999999</v>
      </c>
      <c r="G25" s="2">
        <v>1283.273226</v>
      </c>
      <c r="H25" s="4">
        <f t="shared" si="2"/>
        <v>0.30918585454848413</v>
      </c>
      <c r="I25" s="2">
        <v>521.03587100000004</v>
      </c>
      <c r="J25" s="2">
        <f t="shared" si="4"/>
        <v>62.184507000000053</v>
      </c>
      <c r="K25" s="2">
        <v>215</v>
      </c>
      <c r="L25" s="2">
        <f t="shared" si="3"/>
        <v>1110.820712</v>
      </c>
      <c r="M25" s="2">
        <v>1062.038</v>
      </c>
      <c r="N25" s="2">
        <v>62.184699999999999</v>
      </c>
      <c r="P25" s="2">
        <v>0.92061199999999999</v>
      </c>
      <c r="Q25" s="2">
        <v>0.87</v>
      </c>
    </row>
    <row r="26" spans="1:17">
      <c r="A26" s="2" t="s">
        <v>3</v>
      </c>
      <c r="B26" s="2">
        <v>364.33479999999997</v>
      </c>
      <c r="C26" s="2">
        <f t="shared" si="0"/>
        <v>35.665200000000027</v>
      </c>
      <c r="D26" s="2">
        <v>5.4423839999999997</v>
      </c>
      <c r="E26" s="2">
        <f t="shared" si="1"/>
        <v>2.214194</v>
      </c>
      <c r="F26" s="2">
        <v>452.19841600000001</v>
      </c>
      <c r="G26" s="2">
        <v>1372.5853050000001</v>
      </c>
      <c r="H26" s="4">
        <f t="shared" si="2"/>
        <v>0.3294501364343253</v>
      </c>
      <c r="I26" s="2">
        <v>549.85970499999996</v>
      </c>
      <c r="J26" s="2">
        <f t="shared" si="4"/>
        <v>28.82383399999992</v>
      </c>
      <c r="K26" s="2">
        <v>246</v>
      </c>
      <c r="L26" s="2">
        <f t="shared" si="3"/>
        <v>1164.4646990000001</v>
      </c>
      <c r="M26" s="2">
        <v>1164.0530000000001</v>
      </c>
      <c r="N26" s="2">
        <v>28.823699999999999</v>
      </c>
      <c r="P26" s="2">
        <v>0.898899</v>
      </c>
      <c r="Q26" s="2">
        <v>0.79000009999999998</v>
      </c>
    </row>
    <row r="27" spans="1:17">
      <c r="A27" s="2" t="s">
        <v>2</v>
      </c>
      <c r="B27" s="2">
        <v>369.15690000000001</v>
      </c>
      <c r="C27" s="2">
        <f t="shared" si="0"/>
        <v>30.843099999999993</v>
      </c>
      <c r="D27" s="2">
        <v>5.6432279999999997</v>
      </c>
      <c r="E27" s="2">
        <f t="shared" si="1"/>
        <v>2.01335</v>
      </c>
      <c r="F27" s="2">
        <v>501.69647500000002</v>
      </c>
      <c r="G27" s="2">
        <v>1453.131625</v>
      </c>
      <c r="H27" s="4">
        <f t="shared" si="2"/>
        <v>0.34525191412030554</v>
      </c>
      <c r="I27" s="2">
        <v>574.65185399999996</v>
      </c>
      <c r="J27" s="2">
        <f t="shared" si="4"/>
        <v>24.792148999999995</v>
      </c>
      <c r="K27" s="2">
        <v>284</v>
      </c>
      <c r="L27" s="2">
        <f t="shared" si="3"/>
        <v>1201.988075</v>
      </c>
      <c r="M27" s="2">
        <v>1200.693</v>
      </c>
      <c r="N27" s="2">
        <v>45.292099999999998</v>
      </c>
      <c r="P27" s="2">
        <v>0.89795499999999995</v>
      </c>
      <c r="Q27" s="2">
        <v>0.82</v>
      </c>
    </row>
    <row r="28" spans="1:17">
      <c r="A28" s="2" t="s">
        <v>1</v>
      </c>
      <c r="B28" s="2">
        <v>372.61750000000001</v>
      </c>
      <c r="C28" s="2">
        <f t="shared" si="0"/>
        <v>27.382499999999993</v>
      </c>
      <c r="D28" s="2">
        <v>5.8345929999999999</v>
      </c>
      <c r="E28" s="2">
        <f t="shared" si="1"/>
        <v>1.8219849999999997</v>
      </c>
      <c r="F28" s="2">
        <v>554.15706299999999</v>
      </c>
      <c r="G28" s="2">
        <v>1584.0753139999999</v>
      </c>
      <c r="H28" s="4">
        <f t="shared" si="2"/>
        <v>0.349829997413873</v>
      </c>
      <c r="I28" s="2">
        <v>648.51585699999998</v>
      </c>
      <c r="J28" s="2">
        <f t="shared" si="4"/>
        <v>73.864003000000025</v>
      </c>
      <c r="K28" s="2">
        <v>312</v>
      </c>
      <c r="L28" s="2">
        <f t="shared" si="3"/>
        <v>1301.2797989999999</v>
      </c>
      <c r="M28" s="2">
        <v>1296.296</v>
      </c>
      <c r="N28" s="2">
        <v>73.864000000000004</v>
      </c>
      <c r="P28" s="2">
        <v>0.89563499999999996</v>
      </c>
      <c r="Q28" s="2">
        <v>0.84</v>
      </c>
    </row>
    <row r="29" spans="1:17">
      <c r="A29" s="2" t="s">
        <v>0</v>
      </c>
      <c r="B29" s="2">
        <v>375.34640000000002</v>
      </c>
      <c r="C29" s="2">
        <f t="shared" si="0"/>
        <v>24.653599999999983</v>
      </c>
      <c r="D29" s="2">
        <v>6.012124</v>
      </c>
      <c r="E29" s="2">
        <f t="shared" si="1"/>
        <v>1.6444539999999996</v>
      </c>
      <c r="F29" s="2">
        <v>595.67296399999998</v>
      </c>
      <c r="G29" s="2">
        <v>1678.9204689999999</v>
      </c>
      <c r="H29" s="4">
        <f t="shared" si="2"/>
        <v>0.35479522407323749</v>
      </c>
      <c r="I29" s="2">
        <v>697.63206500000001</v>
      </c>
      <c r="J29" s="2">
        <f t="shared" si="4"/>
        <v>49.116208000000029</v>
      </c>
      <c r="K29" s="2">
        <v>337</v>
      </c>
      <c r="L29" s="2">
        <f t="shared" si="3"/>
        <v>1368.218523</v>
      </c>
      <c r="M29" s="2">
        <v>1364.65</v>
      </c>
      <c r="N29" s="2">
        <v>49.116199999999999</v>
      </c>
      <c r="P29" s="2">
        <v>0.87919700000000001</v>
      </c>
      <c r="Q29" s="2">
        <v>0.82</v>
      </c>
    </row>
    <row r="30" spans="1:17">
      <c r="A30" s="2" t="s">
        <v>18</v>
      </c>
      <c r="B30" s="2">
        <v>378.80009999999999</v>
      </c>
      <c r="C30" s="2">
        <f t="shared" si="0"/>
        <v>21.199900000000014</v>
      </c>
      <c r="D30" s="2">
        <v>6.1984209999999997</v>
      </c>
      <c r="E30" s="2">
        <f t="shared" si="1"/>
        <v>1.4581569999999999</v>
      </c>
      <c r="F30" s="2">
        <v>643.10180300000002</v>
      </c>
      <c r="G30" s="2">
        <v>1742.2393400000001</v>
      </c>
      <c r="H30" s="4">
        <f t="shared" si="2"/>
        <v>0.36912368366105197</v>
      </c>
      <c r="I30" s="2">
        <v>705.38333699999998</v>
      </c>
      <c r="J30" s="2">
        <f t="shared" si="4"/>
        <v>7.7512719999999717</v>
      </c>
      <c r="K30" s="2">
        <v>369</v>
      </c>
      <c r="L30" s="2">
        <f t="shared" si="3"/>
        <v>1395.8973970000002</v>
      </c>
      <c r="M30" s="2">
        <v>1407.95</v>
      </c>
      <c r="N30" s="2">
        <v>39.671080000000003</v>
      </c>
      <c r="P30" s="2">
        <v>0.85574300000000003</v>
      </c>
      <c r="Q30" s="2">
        <v>0.77</v>
      </c>
    </row>
    <row r="31" spans="1:17">
      <c r="A31" s="2">
        <f>A19+1</f>
        <v>1792</v>
      </c>
      <c r="B31" s="2">
        <v>381.31979999999999</v>
      </c>
      <c r="C31" s="2">
        <f t="shared" si="0"/>
        <v>18.680200000000013</v>
      </c>
      <c r="D31" s="2">
        <v>6.4038899999999996</v>
      </c>
      <c r="E31" s="2">
        <f t="shared" si="1"/>
        <v>1.252688</v>
      </c>
      <c r="F31" s="2">
        <v>668.72764299999994</v>
      </c>
      <c r="G31" s="2">
        <v>1833.326243</v>
      </c>
      <c r="H31" s="4">
        <f t="shared" si="2"/>
        <v>0.36476194324568995</v>
      </c>
      <c r="I31" s="2">
        <v>767.40130099999999</v>
      </c>
      <c r="J31" s="2">
        <f t="shared" si="4"/>
        <v>62.017964000000006</v>
      </c>
      <c r="K31" s="2">
        <v>391</v>
      </c>
      <c r="L31" s="2">
        <f t="shared" si="3"/>
        <v>1462.259131</v>
      </c>
      <c r="M31" s="2">
        <v>1461.56</v>
      </c>
      <c r="N31" s="2">
        <v>40.957140000000003</v>
      </c>
      <c r="O31" s="2">
        <v>22.15297</v>
      </c>
      <c r="P31" s="2">
        <v>0.81351099999999998</v>
      </c>
      <c r="Q31" s="2">
        <v>0.72</v>
      </c>
    </row>
    <row r="32" spans="1:17">
      <c r="A32" s="2" t="s">
        <v>15</v>
      </c>
      <c r="B32" s="2">
        <v>383.90289999999999</v>
      </c>
      <c r="C32" s="2">
        <f t="shared" si="0"/>
        <v>16.097100000000012</v>
      </c>
      <c r="D32" s="2">
        <v>6.6169750000000001</v>
      </c>
      <c r="E32" s="2">
        <f t="shared" si="1"/>
        <v>1.0396029999999996</v>
      </c>
      <c r="F32" s="2">
        <v>697.90500599999996</v>
      </c>
      <c r="G32" s="2">
        <v>1931.9108960000001</v>
      </c>
      <c r="H32" s="4">
        <f t="shared" si="2"/>
        <v>0.36125113608759313</v>
      </c>
      <c r="I32" s="2">
        <v>832.39815899999996</v>
      </c>
      <c r="J32" s="2">
        <f t="shared" si="4"/>
        <v>64.996857999999975</v>
      </c>
      <c r="K32" s="2">
        <v>418</v>
      </c>
      <c r="L32" s="2">
        <f t="shared" si="3"/>
        <v>1531.047599</v>
      </c>
      <c r="M32" s="2">
        <v>1531.626</v>
      </c>
      <c r="N32" s="2">
        <v>32.7239</v>
      </c>
      <c r="O32" s="2">
        <v>20.275510000000001</v>
      </c>
      <c r="P32" s="2">
        <v>0.759606</v>
      </c>
      <c r="Q32" s="2">
        <v>0.61</v>
      </c>
    </row>
    <row r="33" spans="1:17">
      <c r="A33" s="2" t="s">
        <v>13</v>
      </c>
      <c r="B33" s="2">
        <v>386.08879999999999</v>
      </c>
      <c r="C33" s="2">
        <f t="shared" si="0"/>
        <v>13.911200000000008</v>
      </c>
      <c r="D33" s="2">
        <v>6.8649440000000004</v>
      </c>
      <c r="E33" s="2">
        <f t="shared" si="1"/>
        <v>0.79163399999999928</v>
      </c>
      <c r="F33" s="2">
        <v>728.04466500000001</v>
      </c>
      <c r="G33" s="2">
        <v>2014.0517580000001</v>
      </c>
      <c r="H33" s="4">
        <f t="shared" si="2"/>
        <v>0.36148259949534028</v>
      </c>
      <c r="I33" s="2">
        <v>881.19381799999996</v>
      </c>
      <c r="J33" s="2">
        <f t="shared" si="4"/>
        <v>48.795659000000001</v>
      </c>
      <c r="K33" s="2">
        <v>457</v>
      </c>
      <c r="L33" s="2">
        <f t="shared" si="3"/>
        <v>1571.754592</v>
      </c>
      <c r="M33" s="2">
        <v>1564.1780000000001</v>
      </c>
      <c r="N33" s="2">
        <v>61.512880000000003</v>
      </c>
      <c r="O33" s="2">
        <v>5.7225400000000004</v>
      </c>
      <c r="P33" s="2">
        <v>0.7399</v>
      </c>
      <c r="Q33" s="2">
        <v>0.59</v>
      </c>
    </row>
    <row r="34" spans="1:17">
      <c r="A34" s="2" t="s">
        <v>11</v>
      </c>
      <c r="B34" s="2">
        <v>387.6771</v>
      </c>
      <c r="C34" s="2">
        <f t="shared" si="0"/>
        <v>12.322900000000004</v>
      </c>
      <c r="D34" s="2">
        <v>7.0918469999999996</v>
      </c>
      <c r="E34" s="2">
        <f t="shared" si="1"/>
        <v>0.56473100000000009</v>
      </c>
      <c r="F34" s="2">
        <v>755.67026099999998</v>
      </c>
      <c r="G34" s="2">
        <v>2097.3173510000001</v>
      </c>
      <c r="H34" s="4">
        <f t="shared" si="2"/>
        <v>0.36030325150349646</v>
      </c>
      <c r="I34" s="2">
        <v>933.46437300000002</v>
      </c>
      <c r="J34" s="2">
        <f t="shared" si="4"/>
        <v>52.270555000000058</v>
      </c>
      <c r="K34" s="2">
        <v>487</v>
      </c>
      <c r="L34" s="2">
        <f t="shared" si="3"/>
        <v>1623.2049820000002</v>
      </c>
      <c r="M34" s="2">
        <v>1623.57</v>
      </c>
      <c r="N34" s="2">
        <v>57.27055</v>
      </c>
      <c r="O34" s="2">
        <v>10.212669999999999</v>
      </c>
      <c r="P34" s="2">
        <v>0.75707000000000002</v>
      </c>
      <c r="Q34" s="2">
        <v>0.68</v>
      </c>
    </row>
    <row r="35" spans="1:17">
      <c r="A35" s="2" t="s">
        <v>7</v>
      </c>
      <c r="B35" s="2">
        <v>389.52319999999997</v>
      </c>
      <c r="C35" s="2">
        <f t="shared" si="0"/>
        <v>10.476800000000026</v>
      </c>
      <c r="D35" s="2">
        <v>7.2647890000000004</v>
      </c>
      <c r="E35" s="2">
        <f t="shared" si="1"/>
        <v>0.39178899999999928</v>
      </c>
      <c r="F35" s="2">
        <v>778.22533299999998</v>
      </c>
      <c r="G35" s="2">
        <v>2206.9192440000002</v>
      </c>
      <c r="H35" s="4">
        <f t="shared" si="2"/>
        <v>0.35262972812248489</v>
      </c>
      <c r="I35" s="2">
        <v>1013.849476</v>
      </c>
      <c r="J35" s="2">
        <f t="shared" si="4"/>
        <v>80.385102999999958</v>
      </c>
      <c r="K35" s="2">
        <v>523</v>
      </c>
      <c r="L35" s="2">
        <f t="shared" si="3"/>
        <v>1694.7878330000003</v>
      </c>
      <c r="M35" s="2">
        <v>1694.62</v>
      </c>
      <c r="N35" s="2">
        <v>52.207410000000003</v>
      </c>
      <c r="O35" s="2">
        <v>13.076040000000001</v>
      </c>
      <c r="P35" s="2">
        <v>0.71916400000000003</v>
      </c>
      <c r="Q35" s="2">
        <v>0.57999999999999996</v>
      </c>
    </row>
    <row r="36" spans="1:17">
      <c r="A36" s="2" t="s">
        <v>5</v>
      </c>
      <c r="B36" s="2">
        <v>390.88290000000001</v>
      </c>
      <c r="C36" s="2">
        <f t="shared" si="0"/>
        <v>9.1170999999999935</v>
      </c>
      <c r="D36" s="2">
        <v>7.3317620000000003</v>
      </c>
      <c r="E36" s="2">
        <f t="shared" si="1"/>
        <v>0.32481599999999933</v>
      </c>
      <c r="F36" s="2">
        <v>783.58293700000002</v>
      </c>
      <c r="G36" s="2">
        <v>2276.0173279999999</v>
      </c>
      <c r="H36" s="4">
        <f t="shared" si="2"/>
        <v>0.34427810691957966</v>
      </c>
      <c r="I36" s="2">
        <v>1074.8494760000001</v>
      </c>
      <c r="J36" s="2">
        <f t="shared" si="4"/>
        <v>61.000000000000114</v>
      </c>
      <c r="K36" s="2">
        <v>561</v>
      </c>
      <c r="L36" s="2">
        <f t="shared" si="3"/>
        <v>1724.4592439999999</v>
      </c>
      <c r="M36" s="2">
        <v>1717.7329999999999</v>
      </c>
      <c r="N36" s="2">
        <v>59.166980000000002</v>
      </c>
      <c r="O36" s="2">
        <v>13.39142</v>
      </c>
      <c r="P36" s="2">
        <v>0.71889199999999998</v>
      </c>
      <c r="Q36" s="2">
        <v>0.56999999999999995</v>
      </c>
    </row>
    <row r="37" spans="1:17">
      <c r="A37" s="2" t="s">
        <v>4</v>
      </c>
      <c r="B37" s="2">
        <v>391.5609</v>
      </c>
      <c r="C37" s="2">
        <f t="shared" si="0"/>
        <v>8.4390999999999963</v>
      </c>
      <c r="D37" s="2">
        <v>7.3573620000000002</v>
      </c>
      <c r="E37" s="2">
        <f t="shared" si="1"/>
        <v>0.29921599999999948</v>
      </c>
      <c r="F37" s="2">
        <v>790.95552699999996</v>
      </c>
      <c r="G37" s="2">
        <v>2345.8127720000002</v>
      </c>
      <c r="H37" s="4">
        <f t="shared" si="2"/>
        <v>0.33717760276564812</v>
      </c>
      <c r="I37" s="2">
        <v>1134.6542589999999</v>
      </c>
      <c r="J37" s="2">
        <f t="shared" si="4"/>
        <v>59.804782999999816</v>
      </c>
      <c r="K37" s="2">
        <v>587</v>
      </c>
      <c r="L37" s="2">
        <f t="shared" si="3"/>
        <v>1767.5510880000002</v>
      </c>
      <c r="M37" s="2">
        <v>1770</v>
      </c>
      <c r="N37" s="2">
        <v>61.796900000000001</v>
      </c>
      <c r="O37" s="2">
        <v>7.7672999999999996</v>
      </c>
      <c r="P37" s="2">
        <v>0.72688299999999995</v>
      </c>
      <c r="Q37" s="2">
        <v>0.61</v>
      </c>
    </row>
    <row r="38" spans="1:17">
      <c r="A38" s="2" t="s">
        <v>3</v>
      </c>
      <c r="G38" s="2">
        <f>M38+K38</f>
        <v>2441.2919999999999</v>
      </c>
      <c r="J38" s="2">
        <v>83.676222999999993</v>
      </c>
      <c r="K38" s="2">
        <v>607</v>
      </c>
      <c r="L38" s="2">
        <f t="shared" ref="L38:L58" si="5">M38</f>
        <v>1834.2919999999999</v>
      </c>
      <c r="M38" s="2">
        <v>1834.2919999999999</v>
      </c>
      <c r="N38" s="2">
        <v>57.227600000000002</v>
      </c>
      <c r="O38" s="2">
        <v>14.89973</v>
      </c>
      <c r="P38" s="2">
        <v>0.72401199999999999</v>
      </c>
      <c r="Q38" s="2">
        <v>0.61</v>
      </c>
    </row>
    <row r="39" spans="1:17">
      <c r="A39" s="2" t="s">
        <v>2</v>
      </c>
      <c r="F39" s="2">
        <v>797.87163499999997</v>
      </c>
      <c r="G39" s="2">
        <v>2492.3311779999999</v>
      </c>
      <c r="H39" s="4">
        <f>F39/G39</f>
        <v>0.32013066403168028</v>
      </c>
      <c r="K39" s="2">
        <v>620</v>
      </c>
      <c r="L39" s="2">
        <f t="shared" si="5"/>
        <v>1950.9169999999999</v>
      </c>
      <c r="M39" s="2">
        <v>1950.9169999999999</v>
      </c>
      <c r="N39" s="2">
        <v>130.15119999999999</v>
      </c>
      <c r="O39" s="2">
        <v>16.328199999999999</v>
      </c>
      <c r="P39" s="2">
        <v>0.75241499999999994</v>
      </c>
      <c r="Q39" s="2">
        <v>0.72</v>
      </c>
    </row>
    <row r="40" spans="1:17">
      <c r="A40" s="2" t="s">
        <v>1</v>
      </c>
      <c r="G40" s="2">
        <f t="shared" ref="G40:G58" si="6">M40+K40</f>
        <v>2702.232</v>
      </c>
      <c r="K40" s="2">
        <v>640</v>
      </c>
      <c r="L40" s="2">
        <f t="shared" si="5"/>
        <v>2062.232</v>
      </c>
      <c r="M40" s="2">
        <v>2062.232</v>
      </c>
      <c r="N40" s="2">
        <v>150.3706</v>
      </c>
      <c r="O40" s="2">
        <v>22.717780000000001</v>
      </c>
      <c r="P40" s="2">
        <v>0.75792999999999999</v>
      </c>
      <c r="Q40" s="2">
        <v>0.71</v>
      </c>
    </row>
    <row r="41" spans="1:17">
      <c r="A41" s="2" t="s">
        <v>0</v>
      </c>
      <c r="G41" s="2">
        <f t="shared" si="6"/>
        <v>2825.5</v>
      </c>
      <c r="K41" s="2">
        <v>653</v>
      </c>
      <c r="L41" s="2">
        <f t="shared" si="5"/>
        <v>2172.5</v>
      </c>
      <c r="M41" s="2">
        <v>2172.5</v>
      </c>
      <c r="N41" s="2">
        <v>121.7424</v>
      </c>
      <c r="O41" s="2">
        <v>-3.6613000000000002</v>
      </c>
      <c r="P41" s="2">
        <v>0.76353499999999996</v>
      </c>
      <c r="Q41" s="2">
        <v>0.73</v>
      </c>
    </row>
    <row r="42" spans="1:17">
      <c r="A42" s="2" t="s">
        <v>18</v>
      </c>
      <c r="F42" s="2">
        <v>814.66781600000002</v>
      </c>
      <c r="G42" s="2">
        <f t="shared" si="6"/>
        <v>2867.6010000000001</v>
      </c>
      <c r="H42" s="4">
        <f t="shared" ref="H42:H58" si="7">F42/G42</f>
        <v>0.28409385266639259</v>
      </c>
      <c r="J42" s="2">
        <v>83.591684999999998</v>
      </c>
      <c r="K42" s="2">
        <v>661</v>
      </c>
      <c r="L42" s="2">
        <f t="shared" si="5"/>
        <v>2206.6010000000001</v>
      </c>
      <c r="M42" s="2">
        <v>2206.6010000000001</v>
      </c>
      <c r="N42" s="2">
        <v>88.383870000000002</v>
      </c>
      <c r="O42" s="2">
        <v>9.179316</v>
      </c>
      <c r="P42" s="2">
        <v>0.74953000000000003</v>
      </c>
      <c r="Q42" s="2">
        <v>0.72</v>
      </c>
    </row>
    <row r="43" spans="1:17">
      <c r="A43" s="2">
        <f>A31+1</f>
        <v>1793</v>
      </c>
      <c r="F43" s="2">
        <f>F42+2.903922</f>
        <v>817.57173799999998</v>
      </c>
      <c r="G43" s="2">
        <f t="shared" si="6"/>
        <v>3069.46</v>
      </c>
      <c r="H43" s="4">
        <f t="shared" si="7"/>
        <v>0.26635686342223064</v>
      </c>
      <c r="K43" s="2">
        <v>682</v>
      </c>
      <c r="L43" s="2">
        <f t="shared" si="5"/>
        <v>2387.46</v>
      </c>
      <c r="M43" s="2">
        <v>2387.46</v>
      </c>
      <c r="N43" s="2">
        <v>170.42060000000001</v>
      </c>
      <c r="O43" s="2">
        <v>8.3097619999999992</v>
      </c>
      <c r="P43" s="2">
        <v>0.66120199999999996</v>
      </c>
      <c r="Q43" s="2">
        <v>0.51</v>
      </c>
    </row>
    <row r="44" spans="1:17">
      <c r="A44" s="2" t="s">
        <v>15</v>
      </c>
      <c r="F44" s="2">
        <f>F43+3.158132</f>
        <v>820.72987000000001</v>
      </c>
      <c r="G44" s="2">
        <f t="shared" si="6"/>
        <v>3212.1970000000001</v>
      </c>
      <c r="H44" s="4">
        <f t="shared" si="7"/>
        <v>0.25550421409396745</v>
      </c>
      <c r="K44" s="2">
        <v>698</v>
      </c>
      <c r="L44" s="2">
        <f t="shared" si="5"/>
        <v>2514.1970000000001</v>
      </c>
      <c r="M44" s="2">
        <v>2514.1970000000001</v>
      </c>
      <c r="N44" s="2">
        <v>142.73660000000001</v>
      </c>
      <c r="O44" s="2">
        <v>14.09665</v>
      </c>
      <c r="P44" s="2">
        <v>0.64875099999999997</v>
      </c>
      <c r="Q44" s="2">
        <v>0.52</v>
      </c>
    </row>
    <row r="45" spans="1:17">
      <c r="A45" s="2" t="s">
        <v>13</v>
      </c>
      <c r="F45" s="2">
        <f>F44+7.735586</f>
        <v>828.46545600000002</v>
      </c>
      <c r="G45" s="2">
        <f t="shared" si="6"/>
        <v>3415.1260000000002</v>
      </c>
      <c r="H45" s="4">
        <f t="shared" si="7"/>
        <v>0.24258708346339197</v>
      </c>
      <c r="K45" s="2">
        <v>715</v>
      </c>
      <c r="L45" s="2">
        <f t="shared" si="5"/>
        <v>2700.1260000000002</v>
      </c>
      <c r="M45" s="2">
        <v>2700.1260000000002</v>
      </c>
      <c r="N45" s="2">
        <v>202.92920000000001</v>
      </c>
      <c r="O45" s="2">
        <v>13.339320000000001</v>
      </c>
      <c r="P45" s="2">
        <v>0.62930799999999998</v>
      </c>
      <c r="Q45" s="2">
        <v>0.51</v>
      </c>
    </row>
    <row r="46" spans="1:17">
      <c r="A46" s="2" t="s">
        <v>11</v>
      </c>
      <c r="F46" s="2">
        <f>F45+7.613</f>
        <v>836.07845600000007</v>
      </c>
      <c r="G46" s="2">
        <f t="shared" si="6"/>
        <v>3678.5149999999999</v>
      </c>
      <c r="H46" s="4">
        <f t="shared" si="7"/>
        <v>0.22728695030467461</v>
      </c>
      <c r="K46" s="2">
        <v>733</v>
      </c>
      <c r="L46" s="2">
        <f t="shared" si="5"/>
        <v>2945.5149999999999</v>
      </c>
      <c r="M46" s="2">
        <v>2945.5149999999999</v>
      </c>
      <c r="N46" s="2">
        <v>263.3895</v>
      </c>
      <c r="O46" s="2">
        <v>10.465949999999999</v>
      </c>
      <c r="P46" s="2">
        <v>0.57798000000000005</v>
      </c>
      <c r="Q46" s="2">
        <v>0.43</v>
      </c>
    </row>
    <row r="47" spans="1:17">
      <c r="A47" s="2" t="s">
        <v>7</v>
      </c>
      <c r="F47" s="2">
        <f>F46+4.872567</f>
        <v>840.95102300000008</v>
      </c>
      <c r="G47" s="2">
        <f t="shared" si="6"/>
        <v>3940.0479999999998</v>
      </c>
      <c r="H47" s="4">
        <f t="shared" si="7"/>
        <v>0.21343674569446872</v>
      </c>
      <c r="J47" s="2">
        <v>296.53333500000002</v>
      </c>
      <c r="K47" s="2">
        <v>756</v>
      </c>
      <c r="L47" s="2">
        <f t="shared" si="5"/>
        <v>3184.0479999999998</v>
      </c>
      <c r="M47" s="2">
        <v>3184.0479999999998</v>
      </c>
      <c r="N47" s="2">
        <v>261.5333</v>
      </c>
      <c r="O47" s="2">
        <v>19.440709999999999</v>
      </c>
      <c r="P47" s="2">
        <v>0.57386999999999999</v>
      </c>
      <c r="Q47" s="2">
        <v>0.52</v>
      </c>
    </row>
    <row r="48" spans="1:17">
      <c r="A48" s="2" t="s">
        <v>5</v>
      </c>
      <c r="F48" s="2">
        <f>F47+4.027226</f>
        <v>844.97824900000012</v>
      </c>
      <c r="G48" s="2">
        <f t="shared" si="6"/>
        <v>4260.6120000000001</v>
      </c>
      <c r="H48" s="4">
        <f t="shared" si="7"/>
        <v>0.19832321013976398</v>
      </c>
      <c r="J48" s="2">
        <v>175.563357</v>
      </c>
      <c r="K48" s="2">
        <v>792</v>
      </c>
      <c r="L48" s="2">
        <f t="shared" si="5"/>
        <v>3468.6120000000001</v>
      </c>
      <c r="M48" s="2">
        <v>3468.6120000000001</v>
      </c>
      <c r="N48" s="2">
        <v>320.56360000000001</v>
      </c>
      <c r="O48" s="2">
        <v>22.816279999999999</v>
      </c>
      <c r="P48" s="2">
        <v>0.49493599999999999</v>
      </c>
      <c r="Q48" s="2">
        <v>0.36</v>
      </c>
    </row>
    <row r="49" spans="1:17">
      <c r="A49" s="2" t="s">
        <v>4</v>
      </c>
      <c r="F49" s="2">
        <f>F48+3.990606</f>
        <v>848.96885500000008</v>
      </c>
      <c r="G49" s="2">
        <f t="shared" si="6"/>
        <v>4463.4850000000006</v>
      </c>
      <c r="H49" s="4">
        <f t="shared" si="7"/>
        <v>0.19020313835489533</v>
      </c>
      <c r="J49" s="2">
        <v>267.87338399999999</v>
      </c>
      <c r="K49" s="2">
        <v>821</v>
      </c>
      <c r="L49" s="2">
        <f t="shared" si="5"/>
        <v>3642.4850000000001</v>
      </c>
      <c r="M49" s="2">
        <v>3642.4850000000001</v>
      </c>
      <c r="N49" s="2">
        <v>202.8734</v>
      </c>
      <c r="O49" s="2">
        <v>9.3756249999999994</v>
      </c>
      <c r="P49" s="2">
        <v>0.42933199999999999</v>
      </c>
      <c r="Q49" s="2">
        <v>0.23</v>
      </c>
    </row>
    <row r="50" spans="1:17">
      <c r="A50" s="2" t="s">
        <v>3</v>
      </c>
      <c r="B50" s="2">
        <v>395.87990000000002</v>
      </c>
      <c r="C50" s="2">
        <v>4.1200999999999999</v>
      </c>
      <c r="F50" s="2">
        <f>F49+1.620071</f>
        <v>850.58892600000013</v>
      </c>
      <c r="G50" s="2">
        <f t="shared" si="6"/>
        <v>4721.723</v>
      </c>
      <c r="H50" s="4">
        <f t="shared" si="7"/>
        <v>0.1801437581154168</v>
      </c>
      <c r="J50" s="2">
        <v>353.23788100000002</v>
      </c>
      <c r="K50" s="2">
        <v>856</v>
      </c>
      <c r="L50" s="2">
        <f t="shared" si="5"/>
        <v>3865.723</v>
      </c>
      <c r="M50" s="2">
        <v>3865.723</v>
      </c>
      <c r="N50" s="2">
        <v>258.23790000000002</v>
      </c>
      <c r="O50" s="2">
        <v>21.017299999999999</v>
      </c>
      <c r="P50" s="2">
        <v>0.40872199999999997</v>
      </c>
      <c r="Q50" s="2">
        <v>0.22</v>
      </c>
    </row>
    <row r="51" spans="1:17">
      <c r="A51" s="2" t="s">
        <v>2</v>
      </c>
      <c r="F51" s="2">
        <f>F50+0.586931</f>
        <v>851.17585700000018</v>
      </c>
      <c r="G51" s="2">
        <f t="shared" si="6"/>
        <v>5126.9229999999998</v>
      </c>
      <c r="H51" s="4">
        <f t="shared" si="7"/>
        <v>0.16602079980526335</v>
      </c>
      <c r="J51" s="2">
        <v>395.20010600000001</v>
      </c>
      <c r="K51" s="2">
        <v>884</v>
      </c>
      <c r="L51" s="2">
        <f t="shared" si="5"/>
        <v>4242.9229999999998</v>
      </c>
      <c r="M51" s="2">
        <v>4242.9229999999998</v>
      </c>
      <c r="N51" s="2">
        <v>405.20010000000002</v>
      </c>
      <c r="O51" s="2">
        <v>18.51858</v>
      </c>
      <c r="P51" s="2">
        <v>0.41639999999999999</v>
      </c>
      <c r="Q51" s="2">
        <v>0.27</v>
      </c>
    </row>
    <row r="52" spans="1:17">
      <c r="A52" s="2" t="s">
        <v>1</v>
      </c>
      <c r="F52" s="2">
        <f>F51+0.300486</f>
        <v>851.47634300000016</v>
      </c>
      <c r="G52" s="2">
        <f t="shared" si="6"/>
        <v>5534.9009999999998</v>
      </c>
      <c r="H52" s="4">
        <f t="shared" si="7"/>
        <v>0.15383768255294905</v>
      </c>
      <c r="K52" s="2">
        <v>913</v>
      </c>
      <c r="L52" s="2">
        <f t="shared" si="5"/>
        <v>4621.9009999999998</v>
      </c>
      <c r="M52" s="2">
        <v>4621.9009999999998</v>
      </c>
      <c r="N52" s="2">
        <v>407.9778</v>
      </c>
      <c r="O52" s="2">
        <v>11.604570000000001</v>
      </c>
      <c r="P52" s="2">
        <v>0.43245</v>
      </c>
      <c r="Q52" s="2">
        <v>0.28000000000000003</v>
      </c>
    </row>
    <row r="53" spans="1:17">
      <c r="A53" s="2" t="s">
        <v>0</v>
      </c>
      <c r="F53" s="2">
        <f>F52+0.359371</f>
        <v>851.83571400000017</v>
      </c>
      <c r="G53" s="2">
        <f t="shared" si="6"/>
        <v>5725.5680000000002</v>
      </c>
      <c r="H53" s="4">
        <f t="shared" si="7"/>
        <v>0.14877750364679979</v>
      </c>
      <c r="K53" s="2">
        <v>956</v>
      </c>
      <c r="L53" s="2">
        <f t="shared" si="5"/>
        <v>4769.5680000000002</v>
      </c>
      <c r="M53" s="2">
        <v>4769.5680000000002</v>
      </c>
      <c r="N53" s="2">
        <v>190.6671</v>
      </c>
      <c r="O53" s="2">
        <v>17.700810000000001</v>
      </c>
      <c r="P53" s="2">
        <v>0.48763099999999998</v>
      </c>
      <c r="Q53" s="2">
        <v>0.33</v>
      </c>
    </row>
    <row r="54" spans="1:17">
      <c r="A54" s="2" t="s">
        <v>18</v>
      </c>
      <c r="F54" s="2">
        <f>F53+0.204753</f>
        <v>852.04046700000015</v>
      </c>
      <c r="G54" s="2">
        <f t="shared" si="6"/>
        <v>5996.7910000000002</v>
      </c>
      <c r="H54" s="4">
        <f t="shared" si="7"/>
        <v>0.14208273508281347</v>
      </c>
      <c r="K54" s="2">
        <v>986</v>
      </c>
      <c r="L54" s="2">
        <f t="shared" si="5"/>
        <v>5010.7910000000002</v>
      </c>
      <c r="M54" s="2">
        <v>5010.7910000000002</v>
      </c>
      <c r="N54" s="2">
        <v>271.22269999999997</v>
      </c>
      <c r="O54" s="2">
        <v>22.630700000000001</v>
      </c>
      <c r="P54" s="2">
        <v>0.55383199999999999</v>
      </c>
      <c r="Q54" s="2">
        <v>0.48</v>
      </c>
    </row>
    <row r="55" spans="1:17">
      <c r="A55" s="2">
        <f>A43+1</f>
        <v>1794</v>
      </c>
      <c r="F55" s="2">
        <f>F54+0.794918</f>
        <v>852.8353850000002</v>
      </c>
      <c r="G55" s="2">
        <f t="shared" si="6"/>
        <v>6277.0559999999996</v>
      </c>
      <c r="H55" s="4">
        <f t="shared" si="7"/>
        <v>0.13586550526233959</v>
      </c>
      <c r="K55" s="2">
        <v>1047</v>
      </c>
      <c r="L55" s="2">
        <f t="shared" si="5"/>
        <v>5230.0559999999996</v>
      </c>
      <c r="M55" s="2">
        <v>5230.0559999999996</v>
      </c>
      <c r="N55" s="2">
        <v>280.26440000000002</v>
      </c>
      <c r="O55" s="2">
        <v>1.2170669999999999</v>
      </c>
      <c r="P55" s="2">
        <v>0.50407599999999997</v>
      </c>
      <c r="Q55" s="2">
        <v>0.4</v>
      </c>
    </row>
    <row r="56" spans="1:17">
      <c r="A56" s="2" t="s">
        <v>15</v>
      </c>
      <c r="F56" s="2">
        <f>F55+0.841925</f>
        <v>853.67731000000015</v>
      </c>
      <c r="G56" s="2">
        <f t="shared" si="6"/>
        <v>6467.6469999999999</v>
      </c>
      <c r="H56" s="4">
        <f t="shared" si="7"/>
        <v>0.13199194544785764</v>
      </c>
      <c r="K56" s="2">
        <v>1064</v>
      </c>
      <c r="L56" s="2">
        <f t="shared" si="5"/>
        <v>5403.6469999999999</v>
      </c>
      <c r="M56" s="2">
        <v>5403.6469999999999</v>
      </c>
      <c r="N56" s="2">
        <v>190.59049999999999</v>
      </c>
      <c r="O56" s="2">
        <v>3.263242</v>
      </c>
      <c r="P56" s="2">
        <v>0.49587500000000001</v>
      </c>
      <c r="Q56" s="2">
        <v>0.41</v>
      </c>
    </row>
    <row r="57" spans="1:17">
      <c r="A57" s="2" t="s">
        <v>13</v>
      </c>
      <c r="F57" s="2">
        <f>F56+0.843238</f>
        <v>854.52054800000019</v>
      </c>
      <c r="G57" s="2">
        <f t="shared" si="6"/>
        <v>6613.4960000000001</v>
      </c>
      <c r="H57" s="4">
        <f t="shared" si="7"/>
        <v>0.12920859829657419</v>
      </c>
      <c r="K57" s="2">
        <v>1099</v>
      </c>
      <c r="L57" s="2">
        <f t="shared" si="5"/>
        <v>5514.4960000000001</v>
      </c>
      <c r="M57" s="2">
        <v>5514.4960000000001</v>
      </c>
      <c r="N57" s="2">
        <v>145.84909999999999</v>
      </c>
      <c r="O57" s="2">
        <v>19.899940000000001</v>
      </c>
      <c r="P57" s="2">
        <v>0.461312</v>
      </c>
      <c r="Q57" s="2">
        <v>0.36</v>
      </c>
    </row>
    <row r="58" spans="1:17">
      <c r="A58" s="2" t="s">
        <v>11</v>
      </c>
      <c r="F58" s="2">
        <f>F57+1.229616</f>
        <v>855.75016400000015</v>
      </c>
      <c r="G58" s="2">
        <f t="shared" si="6"/>
        <v>6833.7430000000004</v>
      </c>
      <c r="H58" s="4">
        <f t="shared" si="7"/>
        <v>0.12522422397213359</v>
      </c>
      <c r="K58" s="2">
        <v>1128.114</v>
      </c>
      <c r="L58" s="2">
        <f t="shared" si="5"/>
        <v>5705.6289999999999</v>
      </c>
      <c r="M58" s="2">
        <v>5705.6289999999999</v>
      </c>
      <c r="N58" s="2">
        <v>220.2467</v>
      </c>
      <c r="O58" s="2">
        <v>-3.714302</v>
      </c>
      <c r="P58" s="2">
        <v>0.44889200000000001</v>
      </c>
      <c r="Q58" s="2">
        <v>0.36</v>
      </c>
    </row>
    <row r="59" spans="1:17">
      <c r="A59" s="2" t="s">
        <v>7</v>
      </c>
      <c r="K59" s="2">
        <v>1181.5530000000001</v>
      </c>
      <c r="L59" s="2">
        <v>5905.7686809999996</v>
      </c>
      <c r="M59" s="2">
        <v>6011.8310000000001</v>
      </c>
      <c r="N59" s="2">
        <v>359.64109999999999</v>
      </c>
      <c r="P59" s="2">
        <v>0.42982399999999998</v>
      </c>
      <c r="Q59" s="2">
        <v>0.34</v>
      </c>
    </row>
    <row r="60" spans="1:17">
      <c r="A60" s="2" t="s">
        <v>5</v>
      </c>
      <c r="K60" s="2">
        <v>1257.5</v>
      </c>
      <c r="L60" s="2">
        <v>6054.2978009999997</v>
      </c>
      <c r="M60" s="2">
        <v>6175.0479999999998</v>
      </c>
      <c r="N60" s="2">
        <v>239.16399999999999</v>
      </c>
      <c r="P60" s="2">
        <v>0.40333200000000002</v>
      </c>
      <c r="Q60" s="2">
        <v>0.3</v>
      </c>
    </row>
    <row r="61" spans="1:17">
      <c r="A61" s="2" t="s">
        <v>4</v>
      </c>
      <c r="K61" s="2">
        <v>1332.5</v>
      </c>
      <c r="L61" s="2">
        <v>6217.4556350000003</v>
      </c>
      <c r="M61" s="2">
        <v>6187.4639999999999</v>
      </c>
      <c r="N61" s="2">
        <v>0</v>
      </c>
      <c r="P61" s="2">
        <v>0.41594199999999998</v>
      </c>
      <c r="Q61" s="2">
        <v>0.34</v>
      </c>
    </row>
    <row r="62" spans="1:17">
      <c r="A62" s="2" t="s">
        <v>3</v>
      </c>
      <c r="K62" s="2">
        <v>1394.5</v>
      </c>
      <c r="L62" s="2">
        <v>6397.4857000000002</v>
      </c>
      <c r="M62" s="2">
        <v>6212.88</v>
      </c>
      <c r="N62" s="2">
        <v>174.83260000000001</v>
      </c>
      <c r="P62" s="2">
        <v>0.393513</v>
      </c>
      <c r="Q62" s="2">
        <v>0.31</v>
      </c>
    </row>
    <row r="63" spans="1:17">
      <c r="A63" s="2" t="s">
        <v>2</v>
      </c>
      <c r="K63" s="2">
        <v>1450.5</v>
      </c>
      <c r="L63" s="2">
        <v>6573.3643599999996</v>
      </c>
      <c r="M63" s="2">
        <v>6383.57</v>
      </c>
      <c r="N63" s="2">
        <v>226.69059999999999</v>
      </c>
      <c r="P63" s="2">
        <v>0.36680699999999999</v>
      </c>
      <c r="Q63" s="2">
        <v>0.28000000000000003</v>
      </c>
    </row>
    <row r="64" spans="1:17">
      <c r="A64" s="2" t="s">
        <v>1</v>
      </c>
      <c r="K64" s="2">
        <v>1517.2360000000001</v>
      </c>
      <c r="L64" s="2">
        <v>6721.2518739999996</v>
      </c>
      <c r="M64" s="2">
        <v>6509.8609999999999</v>
      </c>
      <c r="N64" s="2">
        <v>193.02709999999999</v>
      </c>
      <c r="P64" s="2">
        <v>0.35040399999999999</v>
      </c>
      <c r="Q64" s="2">
        <v>0.28000000000000003</v>
      </c>
    </row>
    <row r="65" spans="1:17">
      <c r="A65" s="2" t="s">
        <v>0</v>
      </c>
      <c r="K65" s="2">
        <v>1537</v>
      </c>
      <c r="L65" s="2">
        <v>6962.9857540000003</v>
      </c>
      <c r="M65" s="2">
        <v>6590.9840000000004</v>
      </c>
      <c r="N65" s="2">
        <v>0</v>
      </c>
      <c r="P65" s="2">
        <v>0.31905</v>
      </c>
      <c r="Q65" s="2">
        <v>0.24</v>
      </c>
    </row>
    <row r="66" spans="1:17">
      <c r="A66" s="2" t="s">
        <v>18</v>
      </c>
      <c r="K66" s="2">
        <v>1574</v>
      </c>
      <c r="L66" s="2">
        <v>7154.619256</v>
      </c>
      <c r="M66" s="2">
        <v>6654.8720000000003</v>
      </c>
      <c r="N66" s="2">
        <v>201.77590000000001</v>
      </c>
      <c r="P66" s="2">
        <v>0.28567700000000001</v>
      </c>
      <c r="Q66" s="2">
        <v>0.2</v>
      </c>
    </row>
    <row r="67" spans="1:17">
      <c r="A67" s="2">
        <f>A55+1</f>
        <v>1795</v>
      </c>
      <c r="K67" s="2">
        <v>1607</v>
      </c>
      <c r="L67" s="2">
        <v>7349.8535119999997</v>
      </c>
      <c r="M67" s="2">
        <v>6870.3469999999998</v>
      </c>
      <c r="N67" s="2">
        <v>248.47450000000001</v>
      </c>
      <c r="P67" s="2">
        <v>0.24984999999999999</v>
      </c>
      <c r="Q67" s="2">
        <v>0.18</v>
      </c>
    </row>
    <row r="68" spans="1:17">
      <c r="A68" s="2" t="s">
        <v>15</v>
      </c>
      <c r="K68" s="2">
        <v>1607</v>
      </c>
      <c r="L68" s="2">
        <v>7702.8482649999996</v>
      </c>
      <c r="M68" s="2">
        <v>7460.3320000000003</v>
      </c>
      <c r="N68" s="2">
        <v>589.98519999999996</v>
      </c>
      <c r="P68" s="2">
        <v>0.222277</v>
      </c>
      <c r="Q68" s="2">
        <v>0.17</v>
      </c>
    </row>
    <row r="69" spans="1:17">
      <c r="A69" s="2" t="s">
        <v>13</v>
      </c>
      <c r="K69" s="2">
        <v>1610.5229999999999</v>
      </c>
      <c r="L69" s="2">
        <v>8148.652</v>
      </c>
      <c r="M69" s="2">
        <v>8148.652</v>
      </c>
      <c r="N69" s="2">
        <v>443.16489999999999</v>
      </c>
      <c r="P69" s="2">
        <v>0.18820700000000001</v>
      </c>
      <c r="Q69" s="2">
        <v>0.14000000000000001</v>
      </c>
    </row>
    <row r="70" spans="1:17">
      <c r="A70" s="2" t="s">
        <v>11</v>
      </c>
      <c r="K70" s="2">
        <v>1635.5</v>
      </c>
      <c r="L70" s="2">
        <v>8903.5079999999998</v>
      </c>
      <c r="M70" s="2">
        <v>8903.5079999999998</v>
      </c>
      <c r="N70" s="2">
        <v>421.7713</v>
      </c>
      <c r="P70" s="2">
        <v>0.143404</v>
      </c>
      <c r="Q70" s="2">
        <v>0.1100917</v>
      </c>
    </row>
    <row r="71" spans="1:17">
      <c r="A71" s="2" t="s">
        <v>7</v>
      </c>
      <c r="K71" s="2">
        <v>1680.5</v>
      </c>
      <c r="L71" s="2">
        <v>10055.35</v>
      </c>
      <c r="M71" s="2">
        <v>10055.35</v>
      </c>
      <c r="N71" s="2">
        <v>637.83780000000002</v>
      </c>
      <c r="P71" s="2">
        <v>9.0285000000000004E-2</v>
      </c>
      <c r="Q71" s="2">
        <v>6.0150380000000003E-2</v>
      </c>
    </row>
    <row r="72" spans="1:17">
      <c r="A72" s="2" t="s">
        <v>5</v>
      </c>
      <c r="K72" s="2">
        <v>1735.5</v>
      </c>
      <c r="L72" s="2">
        <v>11374.46</v>
      </c>
      <c r="M72" s="2">
        <v>11374.46</v>
      </c>
      <c r="P72" s="2">
        <v>5.4204000000000002E-2</v>
      </c>
      <c r="Q72" s="2">
        <v>2.9593100000000001E-2</v>
      </c>
    </row>
    <row r="73" spans="1:17">
      <c r="A73" s="2" t="s">
        <v>4</v>
      </c>
      <c r="K73" s="2">
        <v>1809.5</v>
      </c>
      <c r="L73" s="2">
        <v>13822.63</v>
      </c>
      <c r="M73" s="2">
        <v>13822.63</v>
      </c>
      <c r="P73" s="2">
        <v>4.5725000000000002E-2</v>
      </c>
      <c r="Q73" s="2">
        <v>3.1496059999999999E-2</v>
      </c>
    </row>
    <row r="74" spans="1:17">
      <c r="A74" s="2" t="s">
        <v>3</v>
      </c>
      <c r="K74" s="2">
        <v>1943.5</v>
      </c>
      <c r="L74" s="2">
        <v>15469.63</v>
      </c>
      <c r="M74" s="2">
        <v>15469.63</v>
      </c>
      <c r="P74" s="2">
        <v>3.7850000000000002E-2</v>
      </c>
      <c r="Q74" s="2">
        <v>2.8235300000000001E-2</v>
      </c>
    </row>
    <row r="75" spans="1:17">
      <c r="A75" s="2" t="s">
        <v>2</v>
      </c>
      <c r="K75" s="2">
        <v>2052.5</v>
      </c>
      <c r="L75" s="2">
        <v>17271.14</v>
      </c>
      <c r="M75" s="2">
        <v>17271.14</v>
      </c>
      <c r="P75" s="2">
        <v>2.9104999999999999E-2</v>
      </c>
      <c r="Q75" s="2">
        <v>2.099738E-2</v>
      </c>
    </row>
    <row r="76" spans="1:17">
      <c r="A76" s="2" t="s">
        <v>1</v>
      </c>
      <c r="K76" s="2">
        <v>2274.5</v>
      </c>
      <c r="L76" s="2">
        <v>19462.169999999998</v>
      </c>
      <c r="M76" s="2">
        <v>19462.169999999998</v>
      </c>
      <c r="P76" s="2">
        <v>2.1045999999999999E-2</v>
      </c>
      <c r="Q76" s="2">
        <v>1.437126E-2</v>
      </c>
    </row>
    <row r="77" spans="1:17">
      <c r="A77" s="2" t="s">
        <v>0</v>
      </c>
      <c r="K77" s="2">
        <v>2487.5</v>
      </c>
      <c r="L77" s="2">
        <v>22356.13</v>
      </c>
      <c r="M77" s="2">
        <v>22356.13</v>
      </c>
      <c r="P77" s="2">
        <v>1.2354E-2</v>
      </c>
      <c r="Q77" s="2">
        <v>7.2617250000000001E-3</v>
      </c>
    </row>
    <row r="78" spans="1:17">
      <c r="A78" s="2" t="s">
        <v>18</v>
      </c>
      <c r="K78" s="2">
        <v>2765.5</v>
      </c>
      <c r="L78" s="2">
        <v>25457.86</v>
      </c>
      <c r="M78" s="2">
        <v>23673.4</v>
      </c>
      <c r="P78" s="2">
        <v>7.8890000000000002E-3</v>
      </c>
      <c r="Q78" s="2">
        <v>4.8241209999999998E-3</v>
      </c>
    </row>
    <row r="79" spans="1:17">
      <c r="A79" s="2">
        <f>A67+1</f>
        <v>1796</v>
      </c>
      <c r="K79" s="2">
        <v>3109.5</v>
      </c>
      <c r="L79" s="2">
        <v>34660.69</v>
      </c>
      <c r="M79" s="2">
        <v>33051.69</v>
      </c>
      <c r="P79" s="2">
        <v>6.5970000000000004E-3</v>
      </c>
      <c r="Q79" s="2">
        <v>4.5112779999999996E-3</v>
      </c>
    </row>
    <row r="80" spans="1:17">
      <c r="A80" s="2" t="s">
        <v>15</v>
      </c>
      <c r="K80" s="2">
        <v>4406.5</v>
      </c>
      <c r="L80" s="2">
        <v>35802.78</v>
      </c>
      <c r="M80" s="2">
        <v>35294.78</v>
      </c>
      <c r="P80" s="2">
        <v>5.0169999999999998E-3</v>
      </c>
      <c r="Q80" s="2">
        <v>2.8402369999999998E-3</v>
      </c>
    </row>
    <row r="81" spans="1:17">
      <c r="A81" s="2" t="s">
        <v>13</v>
      </c>
      <c r="K81" s="2">
        <v>4653.5</v>
      </c>
      <c r="L81" s="2">
        <v>37278.61</v>
      </c>
      <c r="M81" s="2">
        <v>37147.96</v>
      </c>
      <c r="P81" s="2">
        <v>4.5900000000000003E-3</v>
      </c>
      <c r="Q81" s="2">
        <v>3.9337809999999999E-3</v>
      </c>
    </row>
    <row r="82" spans="1:17">
      <c r="A82" s="2" t="s">
        <v>11</v>
      </c>
      <c r="K82" s="2">
        <v>5430.5</v>
      </c>
      <c r="L82" s="2">
        <v>36758.03</v>
      </c>
      <c r="M82" s="2">
        <v>36758.03</v>
      </c>
      <c r="Q82" s="2">
        <v>4.03361E-3</v>
      </c>
    </row>
    <row r="83" spans="1:17">
      <c r="A83" s="2" t="s">
        <v>7</v>
      </c>
      <c r="L83" s="2">
        <v>35800.49</v>
      </c>
      <c r="M83" s="2">
        <v>35800.49</v>
      </c>
      <c r="Q83" s="2">
        <v>2.7907000000000001E-3</v>
      </c>
    </row>
    <row r="84" spans="1:17">
      <c r="A84" s="2" t="s">
        <v>5</v>
      </c>
      <c r="L84" s="2">
        <v>34682.42</v>
      </c>
      <c r="M84" s="2">
        <v>34682.42</v>
      </c>
      <c r="Q84" s="2">
        <v>1.3833000000000001E-3</v>
      </c>
    </row>
    <row r="85" spans="1:17">
      <c r="A85" s="2" t="s">
        <v>4</v>
      </c>
      <c r="L85" s="2">
        <v>33555.589999999997</v>
      </c>
      <c r="M85" s="2">
        <v>33555.589999999997</v>
      </c>
    </row>
    <row r="86" spans="1:17">
      <c r="A86" s="2" t="s">
        <v>3</v>
      </c>
    </row>
    <row r="87" spans="1:17">
      <c r="A87" s="2" t="s">
        <v>2</v>
      </c>
    </row>
    <row r="88" spans="1:17">
      <c r="A88" s="2" t="s">
        <v>1</v>
      </c>
    </row>
    <row r="89" spans="1:17">
      <c r="A89" s="2" t="s">
        <v>0</v>
      </c>
    </row>
    <row r="90" spans="1:17">
      <c r="A90" s="2" t="s">
        <v>18</v>
      </c>
    </row>
    <row r="91" spans="1:17">
      <c r="A91" s="2">
        <f>A79+1</f>
        <v>1797</v>
      </c>
    </row>
    <row r="92" spans="1:17">
      <c r="A92" s="2" t="s">
        <v>15</v>
      </c>
    </row>
    <row r="93" spans="1:17">
      <c r="A93" s="2" t="s">
        <v>13</v>
      </c>
    </row>
    <row r="94" spans="1:17">
      <c r="A94" s="2" t="s">
        <v>11</v>
      </c>
    </row>
    <row r="95" spans="1:17">
      <c r="A95" s="2" t="s">
        <v>7</v>
      </c>
    </row>
    <row r="96" spans="1:17">
      <c r="A96" s="2" t="s">
        <v>5</v>
      </c>
    </row>
    <row r="97" spans="1:1">
      <c r="A97" s="2" t="s">
        <v>4</v>
      </c>
    </row>
    <row r="98" spans="1:1">
      <c r="A98" s="2" t="s">
        <v>3</v>
      </c>
    </row>
    <row r="99" spans="1:1">
      <c r="A99" s="2" t="s">
        <v>2</v>
      </c>
    </row>
    <row r="100" spans="1:1">
      <c r="A100" s="2" t="s">
        <v>1</v>
      </c>
    </row>
    <row r="101" spans="1:1">
      <c r="A101" s="2" t="s">
        <v>0</v>
      </c>
    </row>
    <row r="102" spans="1:1">
      <c r="A102" s="2" t="s">
        <v>18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zoomScaleSheetLayoutView="1" workbookViewId="0"/>
  </sheetViews>
  <sheetFormatPr defaultRowHeight="12.75"/>
  <cols>
    <col min="1" max="16" width="9.140625" style="2"/>
    <col min="17" max="16384" width="9.140625" style="1"/>
  </cols>
  <sheetData>
    <row r="1" spans="1:16">
      <c r="A1" s="2" t="s">
        <v>45</v>
      </c>
      <c r="B1" s="2" t="s">
        <v>301</v>
      </c>
      <c r="C1" s="2" t="s">
        <v>300</v>
      </c>
      <c r="D1" s="2" t="s">
        <v>299</v>
      </c>
      <c r="E1" s="2" t="s">
        <v>298</v>
      </c>
      <c r="F1" s="2" t="s">
        <v>297</v>
      </c>
      <c r="G1" s="2" t="s">
        <v>296</v>
      </c>
      <c r="H1" s="2" t="s">
        <v>295</v>
      </c>
      <c r="I1" s="2" t="s">
        <v>294</v>
      </c>
      <c r="J1" s="2" t="s">
        <v>74</v>
      </c>
      <c r="K1" s="2" t="s">
        <v>293</v>
      </c>
      <c r="L1" s="2" t="s">
        <v>292</v>
      </c>
      <c r="M1" s="2" t="s">
        <v>291</v>
      </c>
      <c r="N1" s="2" t="s">
        <v>290</v>
      </c>
      <c r="O1" s="2" t="s">
        <v>289</v>
      </c>
      <c r="P1" s="2" t="s">
        <v>288</v>
      </c>
    </row>
    <row r="2" spans="1:16">
      <c r="A2" s="3" t="s">
        <v>287</v>
      </c>
      <c r="B2" s="2">
        <v>-100</v>
      </c>
      <c r="C2" s="2">
        <v>-100</v>
      </c>
      <c r="D2" s="2">
        <v>-100</v>
      </c>
      <c r="E2" s="2">
        <v>-100</v>
      </c>
      <c r="F2" s="2">
        <v>-100</v>
      </c>
      <c r="G2" s="2">
        <v>-100</v>
      </c>
      <c r="H2" s="2">
        <v>-100</v>
      </c>
      <c r="I2" s="2">
        <v>-100</v>
      </c>
      <c r="J2" s="2">
        <v>-100</v>
      </c>
      <c r="K2" s="2">
        <v>90</v>
      </c>
      <c r="L2" s="2">
        <v>90</v>
      </c>
      <c r="M2" s="2">
        <v>-100</v>
      </c>
      <c r="N2" s="2">
        <v>-100</v>
      </c>
      <c r="O2" s="2">
        <v>-100</v>
      </c>
      <c r="P2" s="2">
        <v>0.96</v>
      </c>
    </row>
    <row r="3" spans="1:16">
      <c r="A3" s="3" t="s">
        <v>286</v>
      </c>
      <c r="B3" s="2">
        <v>-100</v>
      </c>
      <c r="C3" s="2">
        <v>-100</v>
      </c>
      <c r="D3" s="2">
        <v>-100</v>
      </c>
      <c r="E3" s="2">
        <v>-100</v>
      </c>
      <c r="F3" s="2">
        <v>-100</v>
      </c>
      <c r="G3" s="2">
        <v>-100</v>
      </c>
      <c r="H3" s="2">
        <v>-100</v>
      </c>
      <c r="I3" s="2">
        <v>-100</v>
      </c>
      <c r="J3" s="2">
        <v>-100</v>
      </c>
      <c r="K3" s="2">
        <v>105</v>
      </c>
      <c r="L3" s="2">
        <v>105</v>
      </c>
      <c r="M3" s="2">
        <v>-100</v>
      </c>
      <c r="N3" s="2">
        <v>-100</v>
      </c>
      <c r="O3" s="2">
        <v>-100</v>
      </c>
      <c r="P3" s="2">
        <v>0.95</v>
      </c>
    </row>
    <row r="4" spans="1:16">
      <c r="A4" s="3" t="s">
        <v>285</v>
      </c>
      <c r="B4" s="2">
        <v>-100</v>
      </c>
      <c r="C4" s="2">
        <v>-100</v>
      </c>
      <c r="D4" s="2">
        <v>-100</v>
      </c>
      <c r="E4" s="2">
        <v>-100</v>
      </c>
      <c r="F4" s="2">
        <v>-100</v>
      </c>
      <c r="G4" s="2">
        <v>-100</v>
      </c>
      <c r="H4" s="2">
        <v>-100</v>
      </c>
      <c r="I4" s="2">
        <v>-100</v>
      </c>
      <c r="J4" s="2">
        <v>-100</v>
      </c>
      <c r="K4" s="2">
        <v>124</v>
      </c>
      <c r="L4" s="2">
        <v>124</v>
      </c>
      <c r="M4" s="2">
        <v>24</v>
      </c>
      <c r="N4" s="2">
        <v>-100</v>
      </c>
      <c r="O4" s="2">
        <v>-100</v>
      </c>
      <c r="P4" s="2">
        <v>0.96</v>
      </c>
    </row>
    <row r="5" spans="1:16">
      <c r="A5" s="3" t="s">
        <v>284</v>
      </c>
      <c r="B5" s="2">
        <v>-100</v>
      </c>
      <c r="C5" s="2">
        <v>-100</v>
      </c>
      <c r="D5" s="2">
        <v>-100</v>
      </c>
      <c r="E5" s="2">
        <v>-100</v>
      </c>
      <c r="F5" s="2">
        <v>-100</v>
      </c>
      <c r="G5" s="2">
        <v>-100</v>
      </c>
      <c r="H5" s="2">
        <v>-100</v>
      </c>
      <c r="I5" s="2">
        <v>-100</v>
      </c>
      <c r="J5" s="2">
        <v>-100</v>
      </c>
      <c r="K5" s="2">
        <v>142</v>
      </c>
      <c r="L5" s="2">
        <v>142</v>
      </c>
      <c r="M5" s="2">
        <v>18</v>
      </c>
      <c r="N5" s="2">
        <v>-100</v>
      </c>
      <c r="O5" s="2">
        <v>-100</v>
      </c>
      <c r="P5" s="2">
        <v>0.95</v>
      </c>
    </row>
    <row r="6" spans="1:16">
      <c r="A6" s="3" t="s">
        <v>283</v>
      </c>
      <c r="B6" s="2">
        <v>-100</v>
      </c>
      <c r="C6" s="2">
        <v>-100</v>
      </c>
      <c r="D6" s="2">
        <v>-100</v>
      </c>
      <c r="E6" s="2">
        <v>-100</v>
      </c>
      <c r="F6" s="2">
        <v>-100</v>
      </c>
      <c r="G6" s="2">
        <v>-100</v>
      </c>
      <c r="H6" s="2">
        <v>-100</v>
      </c>
      <c r="I6" s="2">
        <v>-100</v>
      </c>
      <c r="J6" s="2">
        <v>-100</v>
      </c>
      <c r="K6" s="2">
        <v>170</v>
      </c>
      <c r="L6" s="2">
        <v>170</v>
      </c>
      <c r="M6" s="2">
        <v>28</v>
      </c>
      <c r="N6" s="2">
        <v>-100</v>
      </c>
      <c r="O6" s="2">
        <v>-100</v>
      </c>
      <c r="P6" s="2">
        <v>0.94</v>
      </c>
    </row>
    <row r="7" spans="1:16">
      <c r="A7" s="3" t="s">
        <v>282</v>
      </c>
      <c r="B7" s="2">
        <v>-100</v>
      </c>
      <c r="C7" s="2">
        <v>-100</v>
      </c>
      <c r="D7" s="2">
        <v>-100</v>
      </c>
      <c r="E7" s="2">
        <v>-100</v>
      </c>
      <c r="F7" s="2">
        <v>-100</v>
      </c>
      <c r="G7" s="2">
        <v>-100</v>
      </c>
      <c r="H7" s="2">
        <v>-100</v>
      </c>
      <c r="I7" s="2">
        <v>-100</v>
      </c>
      <c r="J7" s="2">
        <v>-100</v>
      </c>
      <c r="K7" s="2">
        <v>190.23749999999998</v>
      </c>
      <c r="L7" s="2">
        <v>190</v>
      </c>
      <c r="M7" s="2">
        <v>20</v>
      </c>
      <c r="N7" s="2">
        <v>-100</v>
      </c>
      <c r="O7" s="2">
        <v>-100</v>
      </c>
      <c r="P7" s="2">
        <v>0.94</v>
      </c>
    </row>
    <row r="8" spans="1:16">
      <c r="A8" s="3" t="s">
        <v>281</v>
      </c>
      <c r="B8" s="2">
        <v>-100</v>
      </c>
      <c r="C8" s="2">
        <v>-100</v>
      </c>
      <c r="D8" s="2">
        <v>-100</v>
      </c>
      <c r="E8" s="2">
        <v>-100</v>
      </c>
      <c r="F8" s="2">
        <v>-100</v>
      </c>
      <c r="G8" s="2">
        <v>-100</v>
      </c>
      <c r="H8" s="2">
        <v>-100</v>
      </c>
      <c r="I8" s="2">
        <v>-100</v>
      </c>
      <c r="J8" s="2">
        <v>-100</v>
      </c>
      <c r="K8" s="2">
        <v>212.79499999999999</v>
      </c>
      <c r="L8" s="2">
        <v>212</v>
      </c>
      <c r="M8" s="2">
        <v>22</v>
      </c>
      <c r="N8" s="2">
        <v>-100</v>
      </c>
      <c r="O8" s="2">
        <v>-100</v>
      </c>
      <c r="P8" s="2">
        <v>0.94</v>
      </c>
    </row>
    <row r="9" spans="1:16">
      <c r="A9" s="3" t="s">
        <v>280</v>
      </c>
      <c r="B9" s="2">
        <v>-100</v>
      </c>
      <c r="C9" s="2">
        <v>-100</v>
      </c>
      <c r="D9" s="2">
        <v>-100</v>
      </c>
      <c r="E9" s="2">
        <v>-100</v>
      </c>
      <c r="F9" s="2">
        <v>-100</v>
      </c>
      <c r="G9" s="2">
        <v>-100</v>
      </c>
      <c r="H9" s="2">
        <v>-100</v>
      </c>
      <c r="I9" s="2">
        <v>-100</v>
      </c>
      <c r="J9" s="2">
        <v>-100</v>
      </c>
      <c r="K9" s="2">
        <v>258.60625000000005</v>
      </c>
      <c r="L9" s="2">
        <v>257</v>
      </c>
      <c r="M9" s="2">
        <v>45</v>
      </c>
      <c r="N9" s="2">
        <v>-100</v>
      </c>
      <c r="O9" s="2">
        <v>-100</v>
      </c>
      <c r="P9" s="2">
        <v>0.95</v>
      </c>
    </row>
    <row r="10" spans="1:16">
      <c r="A10" s="3" t="s">
        <v>279</v>
      </c>
      <c r="B10" s="2">
        <v>-100</v>
      </c>
      <c r="C10" s="2">
        <v>230</v>
      </c>
      <c r="D10" s="2">
        <v>-100</v>
      </c>
      <c r="E10" s="2">
        <v>-100</v>
      </c>
      <c r="F10" s="2">
        <v>-100</v>
      </c>
      <c r="G10" s="2">
        <v>-100</v>
      </c>
      <c r="H10" s="2">
        <v>-100</v>
      </c>
      <c r="I10" s="2">
        <v>-100</v>
      </c>
      <c r="J10" s="2">
        <v>-100</v>
      </c>
      <c r="K10" s="2">
        <v>307.66874999999999</v>
      </c>
      <c r="L10" s="2">
        <v>305</v>
      </c>
      <c r="M10" s="2">
        <v>48</v>
      </c>
      <c r="N10" s="2">
        <v>-100</v>
      </c>
      <c r="O10" s="2">
        <v>-100</v>
      </c>
      <c r="P10" s="2">
        <v>0.95</v>
      </c>
    </row>
    <row r="11" spans="1:16">
      <c r="A11" s="3" t="s">
        <v>278</v>
      </c>
      <c r="B11" s="2">
        <v>-100</v>
      </c>
      <c r="C11" s="2">
        <v>-100</v>
      </c>
      <c r="D11" s="2">
        <v>-100</v>
      </c>
      <c r="E11" s="2">
        <v>-100</v>
      </c>
      <c r="F11" s="2">
        <v>-100</v>
      </c>
      <c r="G11" s="2">
        <v>-100</v>
      </c>
      <c r="H11" s="2">
        <v>-100</v>
      </c>
      <c r="I11" s="2">
        <v>-100</v>
      </c>
      <c r="J11" s="2">
        <v>-100</v>
      </c>
      <c r="K11" s="2">
        <v>348.88124999999997</v>
      </c>
      <c r="L11" s="2">
        <v>345</v>
      </c>
      <c r="M11" s="2">
        <v>40</v>
      </c>
      <c r="N11" s="2">
        <v>-100</v>
      </c>
      <c r="O11" s="2">
        <v>-100</v>
      </c>
      <c r="P11" s="2">
        <v>0.92</v>
      </c>
    </row>
    <row r="12" spans="1:16">
      <c r="A12" s="3" t="s">
        <v>277</v>
      </c>
      <c r="B12" s="2">
        <v>-100</v>
      </c>
      <c r="C12" s="2">
        <v>164.3451</v>
      </c>
      <c r="D12" s="2">
        <v>-100</v>
      </c>
      <c r="E12" s="2">
        <v>-100</v>
      </c>
      <c r="F12" s="2">
        <v>-100</v>
      </c>
      <c r="G12" s="2">
        <v>-100</v>
      </c>
      <c r="H12" s="2">
        <v>-100</v>
      </c>
      <c r="I12" s="2">
        <v>-100</v>
      </c>
      <c r="J12" s="2">
        <v>-100</v>
      </c>
      <c r="K12" s="2">
        <v>390.29374999999999</v>
      </c>
      <c r="L12" s="2">
        <v>385</v>
      </c>
      <c r="M12" s="2">
        <v>40</v>
      </c>
      <c r="N12" s="2">
        <v>-100</v>
      </c>
      <c r="O12" s="2">
        <v>-100</v>
      </c>
      <c r="P12" s="2">
        <v>0.91</v>
      </c>
    </row>
    <row r="13" spans="1:16">
      <c r="A13" s="3" t="s">
        <v>276</v>
      </c>
      <c r="B13" s="2">
        <v>-100</v>
      </c>
      <c r="C13" s="2">
        <v>-100</v>
      </c>
      <c r="D13" s="2">
        <v>-100</v>
      </c>
      <c r="E13" s="2">
        <v>-100</v>
      </c>
      <c r="F13" s="2">
        <v>-100</v>
      </c>
      <c r="G13" s="2">
        <v>-100</v>
      </c>
      <c r="H13" s="2">
        <v>-100</v>
      </c>
      <c r="I13" s="2">
        <v>-100</v>
      </c>
      <c r="J13" s="2">
        <v>-100</v>
      </c>
      <c r="K13" s="2">
        <v>437.09499999999997</v>
      </c>
      <c r="L13" s="2">
        <v>431.09500000000003</v>
      </c>
      <c r="M13" s="2">
        <v>48.594999999999999</v>
      </c>
      <c r="N13" s="2">
        <v>-100</v>
      </c>
      <c r="O13" s="2">
        <v>-100</v>
      </c>
      <c r="P13" s="2">
        <v>0.91</v>
      </c>
    </row>
    <row r="14" spans="1:16">
      <c r="A14" s="3" t="s">
        <v>275</v>
      </c>
      <c r="B14" s="2">
        <v>-100</v>
      </c>
      <c r="C14" s="2">
        <v>-100</v>
      </c>
      <c r="D14" s="2">
        <v>-100</v>
      </c>
      <c r="E14" s="2">
        <v>-100</v>
      </c>
      <c r="F14" s="2">
        <v>-100</v>
      </c>
      <c r="G14" s="2">
        <v>-100</v>
      </c>
      <c r="H14" s="2">
        <v>-100</v>
      </c>
      <c r="I14" s="2">
        <v>-100</v>
      </c>
      <c r="J14" s="2">
        <v>-100</v>
      </c>
      <c r="K14" s="2">
        <v>485.09500000000003</v>
      </c>
      <c r="L14" s="2">
        <v>479.09500000000003</v>
      </c>
      <c r="M14" s="2">
        <v>49.84</v>
      </c>
      <c r="N14" s="2">
        <v>-100</v>
      </c>
      <c r="O14" s="2">
        <v>-100</v>
      </c>
      <c r="P14" s="2">
        <v>0.9</v>
      </c>
    </row>
    <row r="15" spans="1:16">
      <c r="A15" s="3" t="s">
        <v>274</v>
      </c>
      <c r="B15" s="2">
        <v>-100</v>
      </c>
      <c r="C15" s="2">
        <v>-100</v>
      </c>
      <c r="D15" s="2">
        <v>-100</v>
      </c>
      <c r="E15" s="2">
        <v>-100</v>
      </c>
      <c r="F15" s="2">
        <v>-100</v>
      </c>
      <c r="G15" s="2">
        <v>529.09500000000003</v>
      </c>
      <c r="H15" s="2">
        <v>-100</v>
      </c>
      <c r="I15" s="2">
        <v>-100</v>
      </c>
      <c r="J15" s="2">
        <v>1</v>
      </c>
      <c r="K15" s="2">
        <v>529.09500000000003</v>
      </c>
      <c r="L15" s="2">
        <v>524.09500000000003</v>
      </c>
      <c r="M15" s="2">
        <v>47</v>
      </c>
      <c r="N15" s="2">
        <v>-100</v>
      </c>
      <c r="O15" s="2">
        <v>-100</v>
      </c>
      <c r="P15" s="2">
        <v>0.92</v>
      </c>
    </row>
    <row r="16" spans="1:16">
      <c r="A16" s="3" t="s">
        <v>273</v>
      </c>
      <c r="B16" s="2">
        <v>302.28120000000001</v>
      </c>
      <c r="C16" s="2">
        <v>97.718799999999987</v>
      </c>
      <c r="D16" s="2">
        <v>2.1531090000000002</v>
      </c>
      <c r="E16" s="2">
        <v>5.5034689999999999</v>
      </c>
      <c r="F16" s="2">
        <v>45.637872000000002</v>
      </c>
      <c r="G16" s="2">
        <v>528.28318200000001</v>
      </c>
      <c r="H16" s="2">
        <v>179.37988999999999</v>
      </c>
      <c r="I16" s="2">
        <v>-100</v>
      </c>
      <c r="J16" s="2">
        <v>4</v>
      </c>
      <c r="K16" s="2">
        <v>627.50545099999999</v>
      </c>
      <c r="L16" s="2">
        <v>604.84</v>
      </c>
      <c r="M16" s="2">
        <v>63.744999999999997</v>
      </c>
      <c r="N16" s="2">
        <v>-100</v>
      </c>
      <c r="O16" s="2">
        <v>0.96670800000000001</v>
      </c>
      <c r="P16" s="2">
        <v>0.91</v>
      </c>
    </row>
    <row r="17" spans="1:16">
      <c r="A17" s="3" t="s">
        <v>272</v>
      </c>
      <c r="B17" s="2">
        <v>315.41660000000002</v>
      </c>
      <c r="C17" s="2">
        <v>84.583399999999983</v>
      </c>
      <c r="D17" s="2">
        <v>2.880172</v>
      </c>
      <c r="E17" s="2">
        <v>4.7764059999999997</v>
      </c>
      <c r="F17" s="2">
        <v>71.905840999999995</v>
      </c>
      <c r="G17" s="2">
        <v>649.694613</v>
      </c>
      <c r="H17" s="2">
        <v>260.66088999999999</v>
      </c>
      <c r="I17" s="2">
        <v>81.281000000000006</v>
      </c>
      <c r="J17" s="2">
        <v>15</v>
      </c>
      <c r="K17" s="2">
        <v>724.05441899999994</v>
      </c>
      <c r="L17" s="2">
        <v>712.11850000000004</v>
      </c>
      <c r="M17" s="2">
        <v>76.820999999999998</v>
      </c>
      <c r="N17" s="2">
        <v>-100</v>
      </c>
      <c r="O17" s="2">
        <v>0.96379800000000004</v>
      </c>
      <c r="P17" s="2">
        <v>0.91</v>
      </c>
    </row>
    <row r="18" spans="1:16">
      <c r="A18" s="3" t="s">
        <v>271</v>
      </c>
      <c r="B18" s="2">
        <v>329.2912</v>
      </c>
      <c r="C18" s="2">
        <v>70.708799999999997</v>
      </c>
      <c r="D18" s="2">
        <v>3.5587360000000001</v>
      </c>
      <c r="E18" s="2">
        <v>4.097842</v>
      </c>
      <c r="F18" s="2">
        <v>135.31730200000001</v>
      </c>
      <c r="G18" s="2">
        <v>777.06423900000004</v>
      </c>
      <c r="H18" s="2">
        <v>310.06589000000002</v>
      </c>
      <c r="I18" s="2">
        <v>49.40500000000003</v>
      </c>
      <c r="J18" s="2">
        <v>42</v>
      </c>
      <c r="K18" s="2">
        <v>809.87088100000005</v>
      </c>
      <c r="L18" s="2">
        <v>789.39499999999998</v>
      </c>
      <c r="M18" s="2">
        <v>46.819000000000003</v>
      </c>
      <c r="N18" s="2">
        <v>-100</v>
      </c>
      <c r="O18" s="2">
        <v>0.95771700000000004</v>
      </c>
      <c r="P18" s="2">
        <v>0.9</v>
      </c>
    </row>
    <row r="19" spans="1:16">
      <c r="A19" s="3" t="s">
        <v>270</v>
      </c>
      <c r="B19" s="2">
        <v>340.07159999999999</v>
      </c>
      <c r="C19" s="2">
        <v>59.928400000000011</v>
      </c>
      <c r="D19" s="2">
        <v>4.1139599999999996</v>
      </c>
      <c r="E19" s="2">
        <v>3.542618</v>
      </c>
      <c r="F19" s="2">
        <v>217.887565</v>
      </c>
      <c r="G19" s="2">
        <v>925.97012400000006</v>
      </c>
      <c r="H19" s="2">
        <v>365.06589000000002</v>
      </c>
      <c r="I19" s="2">
        <v>55</v>
      </c>
      <c r="J19" s="2">
        <v>90</v>
      </c>
      <c r="K19" s="2">
        <v>899.44114200000001</v>
      </c>
      <c r="L19" s="2">
        <v>892.13250000000005</v>
      </c>
      <c r="M19" s="2">
        <v>72.28</v>
      </c>
      <c r="N19" s="2">
        <v>-100</v>
      </c>
      <c r="O19" s="2">
        <v>0.95040599999999997</v>
      </c>
      <c r="P19" s="2">
        <v>0.89</v>
      </c>
    </row>
    <row r="20" spans="1:16">
      <c r="A20" s="3" t="s">
        <v>269</v>
      </c>
      <c r="B20" s="2">
        <v>348.43380000000002</v>
      </c>
      <c r="C20" s="2">
        <v>51.566199999999981</v>
      </c>
      <c r="D20" s="2">
        <v>4.6104789999999998</v>
      </c>
      <c r="E20" s="2">
        <v>3.0460989999999999</v>
      </c>
      <c r="F20" s="2">
        <v>298.23261100000002</v>
      </c>
      <c r="G20" s="2">
        <v>1060.715273</v>
      </c>
      <c r="H20" s="2">
        <v>409.43840299999999</v>
      </c>
      <c r="I20" s="2">
        <v>44.372512999999969</v>
      </c>
      <c r="J20" s="2">
        <v>129</v>
      </c>
      <c r="K20" s="2">
        <v>986.32757200000003</v>
      </c>
      <c r="L20" s="2">
        <v>982.83100000000002</v>
      </c>
      <c r="M20" s="2">
        <v>60.235599999999998</v>
      </c>
      <c r="N20" s="2">
        <v>-100</v>
      </c>
      <c r="O20" s="2">
        <v>0.93571700000000002</v>
      </c>
      <c r="P20" s="2">
        <v>0.85</v>
      </c>
    </row>
    <row r="21" spans="1:16">
      <c r="A21" s="3" t="s">
        <v>268</v>
      </c>
      <c r="B21" s="2">
        <v>354.55430000000001</v>
      </c>
      <c r="C21" s="2">
        <v>45.445699999999988</v>
      </c>
      <c r="D21" s="2">
        <v>4.9833629999999998</v>
      </c>
      <c r="E21" s="2">
        <v>2.6732149999999999</v>
      </c>
      <c r="F21" s="2">
        <v>346.33861000000002</v>
      </c>
      <c r="G21" s="2">
        <v>1164.7693039999999</v>
      </c>
      <c r="H21" s="2">
        <v>458.85136399999999</v>
      </c>
      <c r="I21" s="2">
        <v>49.412960999999996</v>
      </c>
      <c r="J21" s="2">
        <v>170</v>
      </c>
      <c r="K21" s="2">
        <v>1042.8882189999999</v>
      </c>
      <c r="L21" s="2">
        <v>1029.8309999999999</v>
      </c>
      <c r="M21" s="2">
        <v>49.412799999999997</v>
      </c>
      <c r="N21" s="2">
        <v>-100</v>
      </c>
      <c r="O21" s="2">
        <v>0.929504</v>
      </c>
      <c r="P21" s="2">
        <v>0.85</v>
      </c>
    </row>
    <row r="22" spans="1:16">
      <c r="A22" s="3" t="s">
        <v>267</v>
      </c>
      <c r="B22" s="2">
        <v>359.86130000000003</v>
      </c>
      <c r="C22" s="2">
        <v>40.138699999999972</v>
      </c>
      <c r="D22" s="2">
        <v>5.2477919999999996</v>
      </c>
      <c r="E22" s="2">
        <v>2.4087860000000001</v>
      </c>
      <c r="F22" s="2">
        <v>396.76992899999999</v>
      </c>
      <c r="G22" s="2">
        <v>1283.273226</v>
      </c>
      <c r="H22" s="2">
        <v>521.03587100000004</v>
      </c>
      <c r="I22" s="2">
        <v>62.184507000000053</v>
      </c>
      <c r="J22" s="2">
        <v>215</v>
      </c>
      <c r="K22" s="2">
        <v>1110.820712</v>
      </c>
      <c r="L22" s="2">
        <v>1062.038</v>
      </c>
      <c r="M22" s="2">
        <v>62.184699999999999</v>
      </c>
      <c r="N22" s="2">
        <v>-100</v>
      </c>
      <c r="O22" s="2">
        <v>0.92061199999999999</v>
      </c>
      <c r="P22" s="2">
        <v>0.87</v>
      </c>
    </row>
    <row r="23" spans="1:16">
      <c r="A23" s="3" t="s">
        <v>266</v>
      </c>
      <c r="B23" s="2">
        <v>364.33479999999997</v>
      </c>
      <c r="C23" s="2">
        <v>35.665200000000027</v>
      </c>
      <c r="D23" s="2">
        <v>5.4423839999999997</v>
      </c>
      <c r="E23" s="2">
        <v>2.214194</v>
      </c>
      <c r="F23" s="2">
        <v>452.19841600000001</v>
      </c>
      <c r="G23" s="2">
        <v>1372.5853050000001</v>
      </c>
      <c r="H23" s="2">
        <v>549.85970499999996</v>
      </c>
      <c r="I23" s="2">
        <v>28.82383399999992</v>
      </c>
      <c r="J23" s="2">
        <v>246</v>
      </c>
      <c r="K23" s="2">
        <v>1164.4646990000001</v>
      </c>
      <c r="L23" s="2">
        <v>1164.0530000000001</v>
      </c>
      <c r="M23" s="2">
        <v>28.823699999999999</v>
      </c>
      <c r="N23" s="2">
        <v>-100</v>
      </c>
      <c r="O23" s="2">
        <v>0.898899</v>
      </c>
      <c r="P23" s="2">
        <v>0.79</v>
      </c>
    </row>
    <row r="24" spans="1:16">
      <c r="A24" s="3" t="s">
        <v>265</v>
      </c>
      <c r="B24" s="2">
        <v>369.15690000000001</v>
      </c>
      <c r="C24" s="2">
        <v>30.843099999999993</v>
      </c>
      <c r="D24" s="2">
        <v>5.6432279999999997</v>
      </c>
      <c r="E24" s="2">
        <v>2.01335</v>
      </c>
      <c r="F24" s="2">
        <v>501.69647500000002</v>
      </c>
      <c r="G24" s="2">
        <v>1453.131625</v>
      </c>
      <c r="H24" s="2">
        <v>574.65185399999996</v>
      </c>
      <c r="I24" s="2">
        <v>24.792148999999995</v>
      </c>
      <c r="J24" s="2">
        <v>284</v>
      </c>
      <c r="K24" s="2">
        <v>1201.988075</v>
      </c>
      <c r="L24" s="2">
        <v>1200.693</v>
      </c>
      <c r="M24" s="2">
        <v>45.292099999999998</v>
      </c>
      <c r="N24" s="2">
        <v>-100</v>
      </c>
      <c r="O24" s="2">
        <v>0.89795499999999995</v>
      </c>
      <c r="P24" s="2">
        <v>0.82</v>
      </c>
    </row>
    <row r="25" spans="1:16">
      <c r="A25" s="3" t="s">
        <v>264</v>
      </c>
      <c r="B25" s="2">
        <v>372.61750000000001</v>
      </c>
      <c r="C25" s="2">
        <v>27.382499999999993</v>
      </c>
      <c r="D25" s="2">
        <v>5.8345929999999999</v>
      </c>
      <c r="E25" s="2">
        <v>1.8219849999999997</v>
      </c>
      <c r="F25" s="2">
        <v>554.15706299999999</v>
      </c>
      <c r="G25" s="2">
        <v>1584.0753139999999</v>
      </c>
      <c r="H25" s="2">
        <v>648.51585699999998</v>
      </c>
      <c r="I25" s="2">
        <v>73.864003000000025</v>
      </c>
      <c r="J25" s="2">
        <v>312</v>
      </c>
      <c r="K25" s="2">
        <v>1301.2797989999999</v>
      </c>
      <c r="L25" s="2">
        <v>1296.296</v>
      </c>
      <c r="M25" s="2">
        <v>73.864000000000004</v>
      </c>
      <c r="N25" s="2">
        <v>-100</v>
      </c>
      <c r="O25" s="2">
        <v>0.89563499999999996</v>
      </c>
      <c r="P25" s="2">
        <v>0.84</v>
      </c>
    </row>
    <row r="26" spans="1:16">
      <c r="A26" s="3" t="s">
        <v>263</v>
      </c>
      <c r="B26" s="2">
        <v>375.34640000000002</v>
      </c>
      <c r="C26" s="2">
        <v>24.653599999999983</v>
      </c>
      <c r="D26" s="2">
        <v>6.012124</v>
      </c>
      <c r="E26" s="2">
        <v>1.6444539999999996</v>
      </c>
      <c r="F26" s="2">
        <v>595.67296399999998</v>
      </c>
      <c r="G26" s="2">
        <v>1678.9204689999999</v>
      </c>
      <c r="H26" s="2">
        <v>697.63206500000001</v>
      </c>
      <c r="I26" s="2">
        <v>49.116208000000029</v>
      </c>
      <c r="J26" s="2">
        <v>337</v>
      </c>
      <c r="K26" s="2">
        <v>1368.218523</v>
      </c>
      <c r="L26" s="2">
        <v>1364.65</v>
      </c>
      <c r="M26" s="2">
        <v>49.116199999999999</v>
      </c>
      <c r="N26" s="2">
        <v>-100</v>
      </c>
      <c r="O26" s="2">
        <v>0.87919700000000001</v>
      </c>
      <c r="P26" s="2">
        <v>0.82</v>
      </c>
    </row>
    <row r="27" spans="1:16">
      <c r="A27" s="3" t="s">
        <v>262</v>
      </c>
      <c r="B27" s="2">
        <v>378.80009999999999</v>
      </c>
      <c r="C27" s="2">
        <v>21.199900000000014</v>
      </c>
      <c r="D27" s="2">
        <v>6.1984209999999997</v>
      </c>
      <c r="E27" s="2">
        <v>1.4581569999999999</v>
      </c>
      <c r="F27" s="2">
        <v>643.10180300000002</v>
      </c>
      <c r="G27" s="2">
        <v>1742.2393400000001</v>
      </c>
      <c r="H27" s="2">
        <v>705.38333699999998</v>
      </c>
      <c r="I27" s="2">
        <v>7.7512719999999717</v>
      </c>
      <c r="J27" s="2">
        <v>369</v>
      </c>
      <c r="K27" s="2">
        <v>1395.8973970000002</v>
      </c>
      <c r="L27" s="2">
        <v>1407.95</v>
      </c>
      <c r="M27" s="2">
        <v>39.671080000000003</v>
      </c>
      <c r="N27" s="2">
        <v>-100</v>
      </c>
      <c r="O27" s="2">
        <v>0.85574300000000003</v>
      </c>
      <c r="P27" s="2">
        <v>0.77</v>
      </c>
    </row>
    <row r="28" spans="1:16">
      <c r="A28" s="3" t="s">
        <v>261</v>
      </c>
      <c r="B28" s="2">
        <v>381.31979999999999</v>
      </c>
      <c r="C28" s="2">
        <v>18.680200000000013</v>
      </c>
      <c r="D28" s="2">
        <v>6.4038899999999996</v>
      </c>
      <c r="E28" s="2">
        <v>1.252688</v>
      </c>
      <c r="F28" s="2">
        <v>668.72764299999994</v>
      </c>
      <c r="G28" s="2">
        <v>1833.326243</v>
      </c>
      <c r="H28" s="2">
        <v>767.40130099999999</v>
      </c>
      <c r="I28" s="2">
        <v>62.017964000000006</v>
      </c>
      <c r="J28" s="2">
        <v>391</v>
      </c>
      <c r="K28" s="2">
        <v>1462.259131</v>
      </c>
      <c r="L28" s="2">
        <v>1461.56</v>
      </c>
      <c r="M28" s="2">
        <v>40.957140000000003</v>
      </c>
      <c r="N28" s="2">
        <v>22.15297</v>
      </c>
      <c r="O28" s="2">
        <v>0.81351099999999998</v>
      </c>
      <c r="P28" s="2">
        <v>0.72</v>
      </c>
    </row>
    <row r="29" spans="1:16">
      <c r="A29" s="3" t="s">
        <v>260</v>
      </c>
      <c r="B29" s="2">
        <v>383.90289999999999</v>
      </c>
      <c r="C29" s="2">
        <v>16.097100000000012</v>
      </c>
      <c r="D29" s="2">
        <v>6.6169750000000001</v>
      </c>
      <c r="E29" s="2">
        <v>1.0396029999999996</v>
      </c>
      <c r="F29" s="2">
        <v>697.90500599999996</v>
      </c>
      <c r="G29" s="2">
        <v>1931.9108960000001</v>
      </c>
      <c r="H29" s="2">
        <v>832.39815899999996</v>
      </c>
      <c r="I29" s="2">
        <v>64.996857999999975</v>
      </c>
      <c r="J29" s="2">
        <v>418</v>
      </c>
      <c r="K29" s="2">
        <v>1531.0475990000002</v>
      </c>
      <c r="L29" s="2">
        <v>1531.626</v>
      </c>
      <c r="M29" s="2">
        <v>32.7239</v>
      </c>
      <c r="N29" s="2">
        <v>20.275510000000001</v>
      </c>
      <c r="O29" s="2">
        <v>0.759606</v>
      </c>
      <c r="P29" s="2">
        <v>0.61</v>
      </c>
    </row>
    <row r="30" spans="1:16">
      <c r="A30" s="3" t="s">
        <v>259</v>
      </c>
      <c r="B30" s="2">
        <v>386.08879999999999</v>
      </c>
      <c r="C30" s="2">
        <v>13.911200000000008</v>
      </c>
      <c r="D30" s="2">
        <v>6.8649440000000004</v>
      </c>
      <c r="E30" s="2">
        <v>0.79163399999999928</v>
      </c>
      <c r="F30" s="2">
        <v>728.04466500000001</v>
      </c>
      <c r="G30" s="2">
        <v>2014.0517580000001</v>
      </c>
      <c r="H30" s="2">
        <v>881.19381799999996</v>
      </c>
      <c r="I30" s="2">
        <v>48.795659000000001</v>
      </c>
      <c r="J30" s="2">
        <v>457</v>
      </c>
      <c r="K30" s="2">
        <v>1571.754592</v>
      </c>
      <c r="L30" s="2">
        <v>1564.1780000000001</v>
      </c>
      <c r="M30" s="2">
        <v>61.512880000000003</v>
      </c>
      <c r="N30" s="2">
        <v>5.7225400000000004</v>
      </c>
      <c r="O30" s="2">
        <v>0.7399</v>
      </c>
      <c r="P30" s="2">
        <v>0.59</v>
      </c>
    </row>
    <row r="31" spans="1:16">
      <c r="A31" s="3" t="s">
        <v>258</v>
      </c>
      <c r="B31" s="2">
        <v>387.6771</v>
      </c>
      <c r="C31" s="2">
        <v>12.322900000000004</v>
      </c>
      <c r="D31" s="2">
        <v>7.0918469999999996</v>
      </c>
      <c r="E31" s="2">
        <v>0.56473100000000009</v>
      </c>
      <c r="F31" s="2">
        <v>755.67026099999998</v>
      </c>
      <c r="G31" s="2">
        <v>2097.3173510000001</v>
      </c>
      <c r="H31" s="2">
        <v>933.46437300000002</v>
      </c>
      <c r="I31" s="2">
        <v>52.270555000000058</v>
      </c>
      <c r="J31" s="2">
        <v>487</v>
      </c>
      <c r="K31" s="2">
        <v>1623.2049820000002</v>
      </c>
      <c r="L31" s="2">
        <v>1623.57</v>
      </c>
      <c r="M31" s="2">
        <v>57.27055</v>
      </c>
      <c r="N31" s="2">
        <v>10.212669999999999</v>
      </c>
      <c r="O31" s="2">
        <v>0.75707000000000002</v>
      </c>
      <c r="P31" s="2">
        <v>0.68</v>
      </c>
    </row>
    <row r="32" spans="1:16">
      <c r="A32" s="3" t="s">
        <v>257</v>
      </c>
      <c r="B32" s="2">
        <v>389.52319999999997</v>
      </c>
      <c r="C32" s="2">
        <v>10.476800000000026</v>
      </c>
      <c r="D32" s="2">
        <v>7.2647890000000004</v>
      </c>
      <c r="E32" s="2">
        <v>0.39178899999999928</v>
      </c>
      <c r="F32" s="2">
        <v>778.22533299999998</v>
      </c>
      <c r="G32" s="2">
        <v>2206.9192440000002</v>
      </c>
      <c r="H32" s="2">
        <v>1013.849476</v>
      </c>
      <c r="I32" s="2">
        <v>80.385102999999958</v>
      </c>
      <c r="J32" s="2">
        <v>523</v>
      </c>
      <c r="K32" s="2">
        <v>1694.7878330000001</v>
      </c>
      <c r="L32" s="2">
        <v>1694.62</v>
      </c>
      <c r="M32" s="2">
        <v>52.207410000000003</v>
      </c>
      <c r="N32" s="2">
        <v>13.076040000000001</v>
      </c>
      <c r="O32" s="2">
        <v>0.71916400000000003</v>
      </c>
      <c r="P32" s="2">
        <v>0.57999999999999996</v>
      </c>
    </row>
    <row r="33" spans="1:16">
      <c r="A33" s="3" t="s">
        <v>256</v>
      </c>
      <c r="B33" s="2">
        <v>390.88290000000001</v>
      </c>
      <c r="C33" s="2">
        <v>9.1170999999999935</v>
      </c>
      <c r="D33" s="2">
        <v>7.3317620000000003</v>
      </c>
      <c r="E33" s="2">
        <v>0.32481599999999933</v>
      </c>
      <c r="F33" s="2">
        <v>783.58293700000002</v>
      </c>
      <c r="G33" s="2">
        <v>2276.0173279999999</v>
      </c>
      <c r="H33" s="2">
        <v>1074.8494760000001</v>
      </c>
      <c r="I33" s="2">
        <v>61.000000000000114</v>
      </c>
      <c r="J33" s="2">
        <v>561</v>
      </c>
      <c r="K33" s="2">
        <v>1724.4592439999999</v>
      </c>
      <c r="L33" s="2">
        <v>1717.7329999999999</v>
      </c>
      <c r="M33" s="2">
        <v>59.166980000000002</v>
      </c>
      <c r="N33" s="2">
        <v>13.39142</v>
      </c>
      <c r="O33" s="2">
        <v>0.71889199999999998</v>
      </c>
      <c r="P33" s="2">
        <v>0.56999999999999995</v>
      </c>
    </row>
    <row r="34" spans="1:16">
      <c r="A34" s="3" t="s">
        <v>255</v>
      </c>
      <c r="B34" s="2">
        <v>391.5609</v>
      </c>
      <c r="C34" s="2">
        <v>8.4390999999999963</v>
      </c>
      <c r="D34" s="2">
        <v>7.3573620000000002</v>
      </c>
      <c r="E34" s="2">
        <v>0.29921599999999948</v>
      </c>
      <c r="F34" s="2">
        <v>790.95552699999996</v>
      </c>
      <c r="G34" s="2">
        <v>2345.8127720000002</v>
      </c>
      <c r="H34" s="2">
        <v>1134.6542589999999</v>
      </c>
      <c r="I34" s="2">
        <v>59.804782999999816</v>
      </c>
      <c r="J34" s="2">
        <v>587</v>
      </c>
      <c r="K34" s="2">
        <v>1767.5510880000002</v>
      </c>
      <c r="L34" s="2">
        <v>1770</v>
      </c>
      <c r="M34" s="2">
        <v>61.796900000000001</v>
      </c>
      <c r="N34" s="2">
        <v>7.7672999999999996</v>
      </c>
      <c r="O34" s="2">
        <v>0.72688299999999995</v>
      </c>
      <c r="P34" s="2">
        <v>0.61</v>
      </c>
    </row>
    <row r="35" spans="1:16">
      <c r="A35" s="3" t="s">
        <v>254</v>
      </c>
      <c r="B35" s="2">
        <v>-100</v>
      </c>
      <c r="C35" s="2">
        <v>-100</v>
      </c>
      <c r="D35" s="2">
        <v>-100</v>
      </c>
      <c r="E35" s="2">
        <v>-100</v>
      </c>
      <c r="F35" s="2">
        <v>-100</v>
      </c>
      <c r="G35" s="2">
        <v>2441.2919999999999</v>
      </c>
      <c r="H35" s="2">
        <v>-100</v>
      </c>
      <c r="I35" s="2">
        <v>83.676222999999993</v>
      </c>
      <c r="J35" s="2">
        <v>607</v>
      </c>
      <c r="K35" s="2">
        <v>1834.2919999999999</v>
      </c>
      <c r="L35" s="2">
        <v>1834.2919999999999</v>
      </c>
      <c r="M35" s="2">
        <v>57.227600000000002</v>
      </c>
      <c r="N35" s="2">
        <v>14.89973</v>
      </c>
      <c r="O35" s="2">
        <v>0.72401199999999999</v>
      </c>
      <c r="P35" s="2">
        <v>0.61</v>
      </c>
    </row>
    <row r="36" spans="1:16">
      <c r="A36" s="3" t="s">
        <v>253</v>
      </c>
      <c r="B36" s="2">
        <v>-100</v>
      </c>
      <c r="C36" s="2">
        <v>-100</v>
      </c>
      <c r="D36" s="2">
        <v>-100</v>
      </c>
      <c r="E36" s="2">
        <v>-100</v>
      </c>
      <c r="F36" s="2">
        <v>797.87163499999997</v>
      </c>
      <c r="G36" s="2">
        <v>2492.3311779999999</v>
      </c>
      <c r="H36" s="2">
        <v>-100</v>
      </c>
      <c r="I36" s="2">
        <v>-100</v>
      </c>
      <c r="J36" s="2">
        <v>620</v>
      </c>
      <c r="K36" s="2">
        <v>1950.9169999999999</v>
      </c>
      <c r="L36" s="2">
        <v>1950.9169999999999</v>
      </c>
      <c r="M36" s="2">
        <v>130.15119999999999</v>
      </c>
      <c r="N36" s="2">
        <v>16.328199999999999</v>
      </c>
      <c r="O36" s="2">
        <v>0.75241499999999994</v>
      </c>
      <c r="P36" s="2">
        <v>0.72</v>
      </c>
    </row>
    <row r="37" spans="1:16">
      <c r="A37" s="3" t="s">
        <v>252</v>
      </c>
      <c r="B37" s="2">
        <v>-100</v>
      </c>
      <c r="C37" s="2">
        <v>-100</v>
      </c>
      <c r="D37" s="2">
        <v>-100</v>
      </c>
      <c r="E37" s="2">
        <v>-100</v>
      </c>
      <c r="F37" s="2">
        <v>-100</v>
      </c>
      <c r="G37" s="2">
        <v>2702.232</v>
      </c>
      <c r="H37" s="2">
        <v>-100</v>
      </c>
      <c r="I37" s="2">
        <v>-100</v>
      </c>
      <c r="J37" s="2">
        <v>640</v>
      </c>
      <c r="K37" s="2">
        <v>2062.232</v>
      </c>
      <c r="L37" s="2">
        <v>2062.232</v>
      </c>
      <c r="M37" s="2">
        <v>150.3706</v>
      </c>
      <c r="N37" s="2">
        <v>22.717780000000001</v>
      </c>
      <c r="O37" s="2">
        <v>0.75792999999999999</v>
      </c>
      <c r="P37" s="2">
        <v>0.71</v>
      </c>
    </row>
    <row r="38" spans="1:16">
      <c r="A38" s="3" t="s">
        <v>251</v>
      </c>
      <c r="B38" s="2">
        <v>-100</v>
      </c>
      <c r="C38" s="2">
        <v>-100</v>
      </c>
      <c r="D38" s="2">
        <v>-100</v>
      </c>
      <c r="E38" s="2">
        <v>-100</v>
      </c>
      <c r="F38" s="2">
        <v>-100</v>
      </c>
      <c r="G38" s="2">
        <v>2825.5</v>
      </c>
      <c r="H38" s="2">
        <v>-100</v>
      </c>
      <c r="I38" s="2">
        <v>-100</v>
      </c>
      <c r="J38" s="2">
        <v>653</v>
      </c>
      <c r="K38" s="2">
        <v>2172.5</v>
      </c>
      <c r="L38" s="2">
        <v>2172.5</v>
      </c>
      <c r="M38" s="2">
        <v>121.7424</v>
      </c>
      <c r="N38" s="2">
        <v>-3.6613000000000002</v>
      </c>
      <c r="O38" s="2">
        <v>0.76353499999999996</v>
      </c>
      <c r="P38" s="2">
        <v>0.73</v>
      </c>
    </row>
    <row r="39" spans="1:16">
      <c r="A39" s="3" t="s">
        <v>239</v>
      </c>
      <c r="B39" s="2">
        <v>-100</v>
      </c>
      <c r="C39" s="2">
        <v>-100</v>
      </c>
      <c r="D39" s="2">
        <v>-100</v>
      </c>
      <c r="E39" s="2">
        <v>-100</v>
      </c>
      <c r="F39" s="2">
        <v>814.66781600000002</v>
      </c>
      <c r="G39" s="2">
        <v>2867.6010000000001</v>
      </c>
      <c r="H39" s="2">
        <v>-100</v>
      </c>
      <c r="I39" s="2">
        <v>83.591684999999998</v>
      </c>
      <c r="J39" s="2">
        <v>661</v>
      </c>
      <c r="K39" s="2">
        <v>2206.6010000000001</v>
      </c>
      <c r="L39" s="2">
        <v>2206.6010000000001</v>
      </c>
      <c r="M39" s="2">
        <v>88.383870000000002</v>
      </c>
      <c r="N39" s="2">
        <v>9.179316</v>
      </c>
      <c r="O39" s="2">
        <v>0.74953000000000003</v>
      </c>
      <c r="P39" s="2">
        <v>0.72</v>
      </c>
    </row>
    <row r="40" spans="1:16">
      <c r="A40" s="3" t="s">
        <v>250</v>
      </c>
      <c r="B40" s="2">
        <v>-100</v>
      </c>
      <c r="C40" s="2">
        <v>-100</v>
      </c>
      <c r="D40" s="2">
        <v>-100</v>
      </c>
      <c r="E40" s="2">
        <v>-100</v>
      </c>
      <c r="F40" s="2">
        <v>817.57173799999998</v>
      </c>
      <c r="G40" s="2">
        <v>3069.46</v>
      </c>
      <c r="H40" s="2">
        <v>-100</v>
      </c>
      <c r="I40" s="2">
        <v>-100</v>
      </c>
      <c r="J40" s="2">
        <v>682</v>
      </c>
      <c r="K40" s="2">
        <v>2387.46</v>
      </c>
      <c r="L40" s="2">
        <v>2387.46</v>
      </c>
      <c r="M40" s="2">
        <v>170.42060000000001</v>
      </c>
      <c r="N40" s="2">
        <v>8.3097619999999992</v>
      </c>
      <c r="O40" s="2">
        <v>0.66120199999999996</v>
      </c>
      <c r="P40" s="2">
        <v>0.51</v>
      </c>
    </row>
    <row r="41" spans="1:16">
      <c r="A41" s="3" t="s">
        <v>249</v>
      </c>
      <c r="B41" s="2">
        <v>-100</v>
      </c>
      <c r="C41" s="2">
        <v>-100</v>
      </c>
      <c r="D41" s="2">
        <v>-100</v>
      </c>
      <c r="E41" s="2">
        <v>-100</v>
      </c>
      <c r="F41" s="2">
        <v>820.72987000000001</v>
      </c>
      <c r="G41" s="2">
        <v>3212.1970000000001</v>
      </c>
      <c r="H41" s="2">
        <v>-100</v>
      </c>
      <c r="I41" s="2">
        <v>-100</v>
      </c>
      <c r="J41" s="2">
        <v>698</v>
      </c>
      <c r="K41" s="2">
        <v>2514.1970000000001</v>
      </c>
      <c r="L41" s="2">
        <v>2514.1970000000001</v>
      </c>
      <c r="M41" s="2">
        <v>142.73660000000001</v>
      </c>
      <c r="N41" s="2">
        <v>14.09665</v>
      </c>
      <c r="O41" s="2">
        <v>0.64875099999999997</v>
      </c>
      <c r="P41" s="2">
        <v>0.52</v>
      </c>
    </row>
    <row r="42" spans="1:16">
      <c r="A42" s="3" t="s">
        <v>248</v>
      </c>
      <c r="B42" s="2">
        <v>-100</v>
      </c>
      <c r="C42" s="2">
        <v>-100</v>
      </c>
      <c r="D42" s="2">
        <v>-100</v>
      </c>
      <c r="E42" s="2">
        <v>-100</v>
      </c>
      <c r="F42" s="2">
        <v>828.46545600000002</v>
      </c>
      <c r="G42" s="2">
        <v>3415.1260000000002</v>
      </c>
      <c r="H42" s="2">
        <v>-100</v>
      </c>
      <c r="I42" s="2">
        <v>-100</v>
      </c>
      <c r="J42" s="2">
        <v>715</v>
      </c>
      <c r="K42" s="2">
        <v>2700.1260000000002</v>
      </c>
      <c r="L42" s="2">
        <v>2700.1260000000002</v>
      </c>
      <c r="M42" s="2">
        <v>202.92920000000001</v>
      </c>
      <c r="N42" s="2">
        <v>13.339320000000001</v>
      </c>
      <c r="O42" s="2">
        <v>0.62930799999999998</v>
      </c>
      <c r="P42" s="2">
        <v>0.51</v>
      </c>
    </row>
    <row r="43" spans="1:16">
      <c r="A43" s="3" t="s">
        <v>247</v>
      </c>
      <c r="B43" s="2">
        <v>-100</v>
      </c>
      <c r="C43" s="2">
        <v>-100</v>
      </c>
      <c r="D43" s="2">
        <v>-100</v>
      </c>
      <c r="E43" s="2">
        <v>-100</v>
      </c>
      <c r="F43" s="2">
        <v>836.07845600000007</v>
      </c>
      <c r="G43" s="2">
        <v>3678.5149999999999</v>
      </c>
      <c r="H43" s="2">
        <v>-100</v>
      </c>
      <c r="I43" s="2">
        <v>-100</v>
      </c>
      <c r="J43" s="2">
        <v>733</v>
      </c>
      <c r="K43" s="2">
        <v>2945.5149999999999</v>
      </c>
      <c r="L43" s="2">
        <v>2945.5149999999999</v>
      </c>
      <c r="M43" s="2">
        <v>263.3895</v>
      </c>
      <c r="N43" s="2">
        <v>10.465949999999999</v>
      </c>
      <c r="O43" s="2">
        <v>0.57798000000000005</v>
      </c>
      <c r="P43" s="2">
        <v>0.43</v>
      </c>
    </row>
    <row r="44" spans="1:16">
      <c r="A44" s="3" t="s">
        <v>246</v>
      </c>
      <c r="B44" s="2">
        <v>-100</v>
      </c>
      <c r="C44" s="2">
        <v>-100</v>
      </c>
      <c r="D44" s="2">
        <v>-100</v>
      </c>
      <c r="E44" s="2">
        <v>-100</v>
      </c>
      <c r="F44" s="2">
        <v>840.95102300000008</v>
      </c>
      <c r="G44" s="2">
        <v>3940.0479999999998</v>
      </c>
      <c r="H44" s="2">
        <v>-100</v>
      </c>
      <c r="I44" s="2">
        <v>296.53333500000002</v>
      </c>
      <c r="J44" s="2">
        <v>756</v>
      </c>
      <c r="K44" s="2">
        <v>3184.0479999999998</v>
      </c>
      <c r="L44" s="2">
        <v>3184.0479999999998</v>
      </c>
      <c r="M44" s="2">
        <v>261.5333</v>
      </c>
      <c r="N44" s="2">
        <v>19.440709999999999</v>
      </c>
      <c r="O44" s="2">
        <v>0.57386999999999999</v>
      </c>
      <c r="P44" s="2">
        <v>0.52</v>
      </c>
    </row>
    <row r="45" spans="1:16">
      <c r="A45" s="3" t="s">
        <v>245</v>
      </c>
      <c r="B45" s="2">
        <v>-100</v>
      </c>
      <c r="C45" s="2">
        <v>-100</v>
      </c>
      <c r="D45" s="2">
        <v>-100</v>
      </c>
      <c r="E45" s="2">
        <v>-100</v>
      </c>
      <c r="F45" s="2">
        <v>844.97824900000012</v>
      </c>
      <c r="G45" s="2">
        <v>4260.6120000000001</v>
      </c>
      <c r="H45" s="2">
        <v>-100</v>
      </c>
      <c r="I45" s="2">
        <v>175.563357</v>
      </c>
      <c r="J45" s="2">
        <v>792</v>
      </c>
      <c r="K45" s="2">
        <v>3468.6120000000001</v>
      </c>
      <c r="L45" s="2">
        <v>3468.6120000000001</v>
      </c>
      <c r="M45" s="2">
        <v>320.56360000000001</v>
      </c>
      <c r="N45" s="2">
        <v>22.816279999999999</v>
      </c>
      <c r="O45" s="2">
        <v>0.49493599999999999</v>
      </c>
      <c r="P45" s="2">
        <v>0.36</v>
      </c>
    </row>
    <row r="46" spans="1:16">
      <c r="A46" s="3" t="s">
        <v>244</v>
      </c>
      <c r="B46" s="2">
        <v>-100</v>
      </c>
      <c r="C46" s="2">
        <v>-100</v>
      </c>
      <c r="D46" s="2">
        <v>-100</v>
      </c>
      <c r="E46" s="2">
        <v>-100</v>
      </c>
      <c r="F46" s="2">
        <v>848.96885500000008</v>
      </c>
      <c r="G46" s="2">
        <v>4463.4850000000006</v>
      </c>
      <c r="H46" s="2">
        <v>-100</v>
      </c>
      <c r="I46" s="2">
        <v>267.87338399999999</v>
      </c>
      <c r="J46" s="2">
        <v>821</v>
      </c>
      <c r="K46" s="2">
        <v>3642.4850000000001</v>
      </c>
      <c r="L46" s="2">
        <v>3642.4850000000001</v>
      </c>
      <c r="M46" s="2">
        <v>202.8734</v>
      </c>
      <c r="N46" s="2">
        <v>9.3756249999999994</v>
      </c>
      <c r="O46" s="2">
        <v>0.42933199999999999</v>
      </c>
      <c r="P46" s="2">
        <v>0.23</v>
      </c>
    </row>
    <row r="47" spans="1:16">
      <c r="A47" s="3" t="s">
        <v>243</v>
      </c>
      <c r="B47" s="2">
        <v>395.87990000000002</v>
      </c>
      <c r="C47" s="2">
        <v>4.1200999999999999</v>
      </c>
      <c r="D47" s="2">
        <v>-100</v>
      </c>
      <c r="E47" s="2">
        <v>-100</v>
      </c>
      <c r="F47" s="2">
        <v>850.58892600000013</v>
      </c>
      <c r="G47" s="2">
        <v>4721.723</v>
      </c>
      <c r="H47" s="2">
        <v>-100</v>
      </c>
      <c r="I47" s="2">
        <v>353.23788100000002</v>
      </c>
      <c r="J47" s="2">
        <v>856</v>
      </c>
      <c r="K47" s="2">
        <v>3865.723</v>
      </c>
      <c r="L47" s="2">
        <v>3865.723</v>
      </c>
      <c r="M47" s="2">
        <v>258.23790000000002</v>
      </c>
      <c r="N47" s="2">
        <v>21.017299999999999</v>
      </c>
      <c r="O47" s="2">
        <v>0.40872199999999997</v>
      </c>
      <c r="P47" s="2">
        <v>0.22</v>
      </c>
    </row>
    <row r="48" spans="1:16">
      <c r="A48" s="3" t="s">
        <v>242</v>
      </c>
      <c r="B48" s="2">
        <v>-100</v>
      </c>
      <c r="C48" s="2">
        <v>-100</v>
      </c>
      <c r="D48" s="2">
        <v>-100</v>
      </c>
      <c r="E48" s="2">
        <v>-100</v>
      </c>
      <c r="F48" s="2">
        <v>851.17585700000018</v>
      </c>
      <c r="G48" s="2">
        <v>5126.9229999999998</v>
      </c>
      <c r="H48" s="2">
        <v>-100</v>
      </c>
      <c r="I48" s="2">
        <v>395.20010600000001</v>
      </c>
      <c r="J48" s="2">
        <v>884</v>
      </c>
      <c r="K48" s="2">
        <v>4242.9229999999998</v>
      </c>
      <c r="L48" s="2">
        <v>4242.9229999999998</v>
      </c>
      <c r="M48" s="2">
        <v>405.20010000000002</v>
      </c>
      <c r="N48" s="2">
        <v>18.51858</v>
      </c>
      <c r="O48" s="2">
        <v>0.41639999999999999</v>
      </c>
      <c r="P48" s="2">
        <v>0.27</v>
      </c>
    </row>
    <row r="49" spans="1:16">
      <c r="A49" s="3" t="s">
        <v>241</v>
      </c>
      <c r="B49" s="2">
        <v>-100</v>
      </c>
      <c r="C49" s="2">
        <v>-100</v>
      </c>
      <c r="D49" s="2">
        <v>-100</v>
      </c>
      <c r="E49" s="2">
        <v>-100</v>
      </c>
      <c r="F49" s="2">
        <v>851.47634300000016</v>
      </c>
      <c r="G49" s="2">
        <v>5534.9009999999998</v>
      </c>
      <c r="H49" s="2">
        <v>-100</v>
      </c>
      <c r="I49" s="2">
        <v>-100</v>
      </c>
      <c r="J49" s="2">
        <v>913</v>
      </c>
      <c r="K49" s="2">
        <v>4621.9009999999998</v>
      </c>
      <c r="L49" s="2">
        <v>4621.9009999999998</v>
      </c>
      <c r="M49" s="2">
        <v>407.9778</v>
      </c>
      <c r="N49" s="2">
        <v>11.604570000000001</v>
      </c>
      <c r="O49" s="2">
        <v>0.43245</v>
      </c>
      <c r="P49" s="2">
        <v>0.28000000000000003</v>
      </c>
    </row>
    <row r="50" spans="1:16">
      <c r="A50" s="3" t="s">
        <v>240</v>
      </c>
      <c r="B50" s="2">
        <v>-100</v>
      </c>
      <c r="C50" s="2">
        <v>-100</v>
      </c>
      <c r="D50" s="2">
        <v>-100</v>
      </c>
      <c r="E50" s="2">
        <v>-100</v>
      </c>
      <c r="F50" s="2">
        <v>851.83571400000017</v>
      </c>
      <c r="G50" s="2">
        <v>5725.5680000000002</v>
      </c>
      <c r="H50" s="2">
        <v>-100</v>
      </c>
      <c r="I50" s="2">
        <v>-100</v>
      </c>
      <c r="J50" s="2">
        <v>956</v>
      </c>
      <c r="K50" s="2">
        <v>4769.5680000000002</v>
      </c>
      <c r="L50" s="2">
        <v>4769.5680000000002</v>
      </c>
      <c r="M50" s="2">
        <v>190.6671</v>
      </c>
      <c r="N50" s="2">
        <v>17.700810000000001</v>
      </c>
      <c r="O50" s="2">
        <v>0.48763099999999998</v>
      </c>
      <c r="P50" s="2">
        <v>0.33</v>
      </c>
    </row>
    <row r="51" spans="1:16">
      <c r="A51" s="3" t="s">
        <v>239</v>
      </c>
      <c r="B51" s="2">
        <v>-100</v>
      </c>
      <c r="C51" s="2">
        <v>-100</v>
      </c>
      <c r="D51" s="2">
        <v>-100</v>
      </c>
      <c r="E51" s="2">
        <v>-100</v>
      </c>
      <c r="F51" s="2">
        <v>852.04046700000015</v>
      </c>
      <c r="G51" s="2">
        <v>5996.7910000000002</v>
      </c>
      <c r="H51" s="2">
        <v>-100</v>
      </c>
      <c r="I51" s="2">
        <v>-100</v>
      </c>
      <c r="J51" s="2">
        <v>986</v>
      </c>
      <c r="K51" s="2">
        <v>5010.7910000000002</v>
      </c>
      <c r="L51" s="2">
        <v>5010.7910000000002</v>
      </c>
      <c r="M51" s="2">
        <v>271.22269999999997</v>
      </c>
      <c r="N51" s="2">
        <v>22.630700000000001</v>
      </c>
      <c r="O51" s="2">
        <v>0.55383199999999999</v>
      </c>
      <c r="P51" s="2">
        <v>0.48</v>
      </c>
    </row>
    <row r="52" spans="1:16">
      <c r="A52" s="3" t="s">
        <v>238</v>
      </c>
      <c r="B52" s="2">
        <v>-100</v>
      </c>
      <c r="C52" s="2">
        <v>-100</v>
      </c>
      <c r="D52" s="2">
        <v>-100</v>
      </c>
      <c r="E52" s="2">
        <v>-100</v>
      </c>
      <c r="F52" s="2">
        <v>852.8353850000002</v>
      </c>
      <c r="G52" s="2">
        <v>6277.0559999999996</v>
      </c>
      <c r="H52" s="2">
        <v>-100</v>
      </c>
      <c r="I52" s="2">
        <v>-100</v>
      </c>
      <c r="J52" s="2">
        <v>1047</v>
      </c>
      <c r="K52" s="2">
        <v>5230.0559999999996</v>
      </c>
      <c r="L52" s="2">
        <v>5230.0559999999996</v>
      </c>
      <c r="M52" s="2">
        <v>280.26440000000002</v>
      </c>
      <c r="N52" s="2">
        <v>1.2170669999999999</v>
      </c>
      <c r="O52" s="2">
        <v>0.50407599999999997</v>
      </c>
      <c r="P52" s="2">
        <v>0.4</v>
      </c>
    </row>
    <row r="53" spans="1:16">
      <c r="A53" s="3" t="s">
        <v>237</v>
      </c>
      <c r="B53" s="2">
        <v>-100</v>
      </c>
      <c r="C53" s="2">
        <v>-100</v>
      </c>
      <c r="D53" s="2">
        <v>-100</v>
      </c>
      <c r="E53" s="2">
        <v>-100</v>
      </c>
      <c r="F53" s="2">
        <v>853.67731000000015</v>
      </c>
      <c r="G53" s="2">
        <v>6467.6469999999999</v>
      </c>
      <c r="H53" s="2">
        <v>-100</v>
      </c>
      <c r="I53" s="2">
        <v>-100</v>
      </c>
      <c r="J53" s="2">
        <v>1064</v>
      </c>
      <c r="K53" s="2">
        <v>5403.6469999999999</v>
      </c>
      <c r="L53" s="2">
        <v>5403.6469999999999</v>
      </c>
      <c r="M53" s="2">
        <v>190.59049999999999</v>
      </c>
      <c r="N53" s="2">
        <v>3.263242</v>
      </c>
      <c r="O53" s="2">
        <v>0.49587500000000001</v>
      </c>
      <c r="P53" s="2">
        <v>0.41</v>
      </c>
    </row>
    <row r="54" spans="1:16">
      <c r="A54" s="3" t="s">
        <v>236</v>
      </c>
      <c r="B54" s="2">
        <v>-100</v>
      </c>
      <c r="C54" s="2">
        <v>-100</v>
      </c>
      <c r="D54" s="2">
        <v>-100</v>
      </c>
      <c r="E54" s="2">
        <v>-100</v>
      </c>
      <c r="F54" s="2">
        <v>854.52054800000019</v>
      </c>
      <c r="G54" s="2">
        <v>6613.4960000000001</v>
      </c>
      <c r="H54" s="2">
        <v>-100</v>
      </c>
      <c r="I54" s="2">
        <v>-100</v>
      </c>
      <c r="J54" s="2">
        <v>1099</v>
      </c>
      <c r="K54" s="2">
        <v>5514.4960000000001</v>
      </c>
      <c r="L54" s="2">
        <v>5514.4960000000001</v>
      </c>
      <c r="M54" s="2">
        <v>145.84909999999999</v>
      </c>
      <c r="N54" s="2">
        <v>19.899940000000001</v>
      </c>
      <c r="O54" s="2">
        <v>0.461312</v>
      </c>
      <c r="P54" s="2">
        <v>0.36</v>
      </c>
    </row>
    <row r="55" spans="1:16">
      <c r="A55" s="3" t="s">
        <v>235</v>
      </c>
      <c r="B55" s="2">
        <v>-100</v>
      </c>
      <c r="C55" s="2">
        <v>-100</v>
      </c>
      <c r="D55" s="2">
        <v>-100</v>
      </c>
      <c r="E55" s="2">
        <v>-100</v>
      </c>
      <c r="F55" s="2">
        <v>855.75016400000015</v>
      </c>
      <c r="G55" s="2">
        <v>6833.7430000000004</v>
      </c>
      <c r="H55" s="2">
        <v>-100</v>
      </c>
      <c r="I55" s="2">
        <v>-100</v>
      </c>
      <c r="J55" s="2">
        <v>1128.114</v>
      </c>
      <c r="K55" s="2">
        <v>5705.6289999999999</v>
      </c>
      <c r="L55" s="2">
        <v>5705.6289999999999</v>
      </c>
      <c r="M55" s="2">
        <v>220.2467</v>
      </c>
      <c r="N55" s="2">
        <v>-3.714302</v>
      </c>
      <c r="O55" s="2">
        <v>0.44889200000000001</v>
      </c>
      <c r="P55" s="2">
        <v>0.36</v>
      </c>
    </row>
    <row r="56" spans="1:16">
      <c r="A56" s="3" t="s">
        <v>234</v>
      </c>
      <c r="B56" s="2">
        <v>-100</v>
      </c>
      <c r="C56" s="2">
        <v>-100</v>
      </c>
      <c r="D56" s="2">
        <v>-100</v>
      </c>
      <c r="E56" s="2">
        <v>-100</v>
      </c>
      <c r="F56" s="2">
        <v>-100</v>
      </c>
      <c r="G56" s="2">
        <v>-100</v>
      </c>
      <c r="H56" s="2">
        <v>-100</v>
      </c>
      <c r="I56" s="2">
        <v>-100</v>
      </c>
      <c r="J56" s="2">
        <v>1181.5530000000001</v>
      </c>
      <c r="K56" s="2">
        <v>5905.7686809999996</v>
      </c>
      <c r="L56" s="2">
        <v>6011.8310000000001</v>
      </c>
      <c r="M56" s="2">
        <v>359.64109999999999</v>
      </c>
      <c r="N56" s="2">
        <v>-100</v>
      </c>
      <c r="O56" s="2">
        <v>0.42982399999999998</v>
      </c>
      <c r="P56" s="2">
        <v>0.34</v>
      </c>
    </row>
    <row r="57" spans="1:16">
      <c r="A57" s="3" t="s">
        <v>233</v>
      </c>
      <c r="B57" s="2">
        <v>-100</v>
      </c>
      <c r="C57" s="2">
        <v>-100</v>
      </c>
      <c r="D57" s="2">
        <v>-100</v>
      </c>
      <c r="E57" s="2">
        <v>-100</v>
      </c>
      <c r="F57" s="2">
        <v>-100</v>
      </c>
      <c r="G57" s="2">
        <v>-100</v>
      </c>
      <c r="H57" s="2">
        <v>-100</v>
      </c>
      <c r="I57" s="2">
        <v>-100</v>
      </c>
      <c r="J57" s="2">
        <v>1257.5</v>
      </c>
      <c r="K57" s="2">
        <v>6054.2978009999997</v>
      </c>
      <c r="L57" s="2">
        <v>6175.0479999999998</v>
      </c>
      <c r="M57" s="2">
        <v>239.16399999999999</v>
      </c>
      <c r="N57" s="2">
        <v>-100</v>
      </c>
      <c r="O57" s="2">
        <v>0.40333200000000002</v>
      </c>
      <c r="P57" s="2">
        <v>0.3</v>
      </c>
    </row>
    <row r="58" spans="1:16">
      <c r="A58" s="3" t="s">
        <v>232</v>
      </c>
      <c r="B58" s="2">
        <v>-100</v>
      </c>
      <c r="C58" s="2">
        <v>-100</v>
      </c>
      <c r="D58" s="2">
        <v>-100</v>
      </c>
      <c r="E58" s="2">
        <v>-100</v>
      </c>
      <c r="F58" s="2">
        <v>-100</v>
      </c>
      <c r="G58" s="2">
        <v>-100</v>
      </c>
      <c r="H58" s="2">
        <v>-100</v>
      </c>
      <c r="I58" s="2">
        <v>-100</v>
      </c>
      <c r="J58" s="2">
        <v>1332.5</v>
      </c>
      <c r="K58" s="2">
        <v>6217.4556350000003</v>
      </c>
      <c r="L58" s="2">
        <v>6187.4639999999999</v>
      </c>
      <c r="M58" s="2">
        <v>0</v>
      </c>
      <c r="N58" s="2">
        <v>-100</v>
      </c>
      <c r="O58" s="2">
        <v>0.41594199999999998</v>
      </c>
      <c r="P58" s="2">
        <v>0.34</v>
      </c>
    </row>
    <row r="59" spans="1:16">
      <c r="A59" s="3" t="s">
        <v>231</v>
      </c>
      <c r="B59" s="2">
        <v>-100</v>
      </c>
      <c r="C59" s="2">
        <v>-100</v>
      </c>
      <c r="D59" s="2">
        <v>-100</v>
      </c>
      <c r="E59" s="2">
        <v>-100</v>
      </c>
      <c r="F59" s="2">
        <v>-100</v>
      </c>
      <c r="G59" s="2">
        <v>-100</v>
      </c>
      <c r="H59" s="2">
        <v>-100</v>
      </c>
      <c r="I59" s="2">
        <v>-100</v>
      </c>
      <c r="J59" s="2">
        <v>1394.5</v>
      </c>
      <c r="K59" s="2">
        <v>6397.4857000000002</v>
      </c>
      <c r="L59" s="2">
        <v>6212.88</v>
      </c>
      <c r="M59" s="2">
        <v>174.83260000000001</v>
      </c>
      <c r="N59" s="2">
        <v>-100</v>
      </c>
      <c r="O59" s="2">
        <v>0.393513</v>
      </c>
      <c r="P59" s="2">
        <v>0.31</v>
      </c>
    </row>
    <row r="60" spans="1:16">
      <c r="A60" s="3" t="s">
        <v>230</v>
      </c>
      <c r="B60" s="2">
        <v>-100</v>
      </c>
      <c r="C60" s="2">
        <v>-100</v>
      </c>
      <c r="D60" s="2">
        <v>-100</v>
      </c>
      <c r="E60" s="2">
        <v>-100</v>
      </c>
      <c r="F60" s="2">
        <v>-100</v>
      </c>
      <c r="G60" s="2">
        <v>-100</v>
      </c>
      <c r="H60" s="2">
        <v>-100</v>
      </c>
      <c r="I60" s="2">
        <v>-100</v>
      </c>
      <c r="J60" s="2">
        <v>1450.5</v>
      </c>
      <c r="K60" s="2">
        <v>6573.3643599999996</v>
      </c>
      <c r="L60" s="2">
        <v>6383.57</v>
      </c>
      <c r="M60" s="2">
        <v>226.69059999999999</v>
      </c>
      <c r="N60" s="2">
        <v>-100</v>
      </c>
      <c r="O60" s="2">
        <v>0.36680699999999999</v>
      </c>
      <c r="P60" s="2">
        <v>0.28000000000000003</v>
      </c>
    </row>
    <row r="61" spans="1:16">
      <c r="A61" s="3" t="s">
        <v>229</v>
      </c>
      <c r="B61" s="2">
        <v>-100</v>
      </c>
      <c r="C61" s="2">
        <v>-100</v>
      </c>
      <c r="D61" s="2">
        <v>-100</v>
      </c>
      <c r="E61" s="2">
        <v>-100</v>
      </c>
      <c r="F61" s="2">
        <v>-100</v>
      </c>
      <c r="G61" s="2">
        <v>-100</v>
      </c>
      <c r="H61" s="2">
        <v>-100</v>
      </c>
      <c r="I61" s="2">
        <v>-100</v>
      </c>
      <c r="J61" s="2">
        <v>1517.2360000000001</v>
      </c>
      <c r="K61" s="2">
        <v>6721.2518739999996</v>
      </c>
      <c r="L61" s="2">
        <v>6509.8609999999999</v>
      </c>
      <c r="M61" s="2">
        <v>193.02709999999999</v>
      </c>
      <c r="N61" s="2">
        <v>-100</v>
      </c>
      <c r="O61" s="2">
        <v>0.35040399999999999</v>
      </c>
      <c r="P61" s="2">
        <v>0.28000000000000003</v>
      </c>
    </row>
    <row r="62" spans="1:16">
      <c r="A62" s="3" t="s">
        <v>228</v>
      </c>
      <c r="B62" s="2">
        <v>-100</v>
      </c>
      <c r="C62" s="2">
        <v>-100</v>
      </c>
      <c r="D62" s="2">
        <v>-100</v>
      </c>
      <c r="E62" s="2">
        <v>-100</v>
      </c>
      <c r="F62" s="2">
        <v>-100</v>
      </c>
      <c r="G62" s="2">
        <v>-100</v>
      </c>
      <c r="H62" s="2">
        <v>-100</v>
      </c>
      <c r="I62" s="2">
        <v>-100</v>
      </c>
      <c r="J62" s="2">
        <v>1537</v>
      </c>
      <c r="K62" s="2">
        <v>6962.9857540000003</v>
      </c>
      <c r="L62" s="2">
        <v>6590.9840000000004</v>
      </c>
      <c r="M62" s="2">
        <v>0</v>
      </c>
      <c r="N62" s="2">
        <v>-100</v>
      </c>
      <c r="O62" s="2">
        <v>0.31905</v>
      </c>
      <c r="P62" s="2">
        <v>0.24</v>
      </c>
    </row>
    <row r="63" spans="1:16">
      <c r="A63" s="3" t="s">
        <v>227</v>
      </c>
      <c r="B63" s="2">
        <v>-100</v>
      </c>
      <c r="C63" s="2">
        <v>-100</v>
      </c>
      <c r="D63" s="2">
        <v>-100</v>
      </c>
      <c r="E63" s="2">
        <v>-100</v>
      </c>
      <c r="F63" s="2">
        <v>-100</v>
      </c>
      <c r="G63" s="2">
        <v>-100</v>
      </c>
      <c r="H63" s="2">
        <v>-100</v>
      </c>
      <c r="I63" s="2">
        <v>-100</v>
      </c>
      <c r="J63" s="2">
        <v>1574</v>
      </c>
      <c r="K63" s="2">
        <v>7154.619256</v>
      </c>
      <c r="L63" s="2">
        <v>6654.8720000000003</v>
      </c>
      <c r="M63" s="2">
        <v>201.77590000000001</v>
      </c>
      <c r="N63" s="2">
        <v>-100</v>
      </c>
      <c r="O63" s="2">
        <v>0.28567700000000001</v>
      </c>
      <c r="P63" s="2">
        <v>0.2</v>
      </c>
    </row>
    <row r="64" spans="1:16">
      <c r="A64" s="3" t="s">
        <v>226</v>
      </c>
      <c r="B64" s="2">
        <v>-100</v>
      </c>
      <c r="C64" s="2">
        <v>-100</v>
      </c>
      <c r="D64" s="2">
        <v>-100</v>
      </c>
      <c r="E64" s="2">
        <v>-100</v>
      </c>
      <c r="F64" s="2">
        <v>-100</v>
      </c>
      <c r="G64" s="2">
        <v>-100</v>
      </c>
      <c r="H64" s="2">
        <v>-100</v>
      </c>
      <c r="I64" s="2">
        <v>-100</v>
      </c>
      <c r="J64" s="2">
        <v>1607</v>
      </c>
      <c r="K64" s="2">
        <v>7349.8535119999997</v>
      </c>
      <c r="L64" s="2">
        <v>6870.3469999999998</v>
      </c>
      <c r="M64" s="2">
        <v>248.47450000000001</v>
      </c>
      <c r="N64" s="2">
        <v>-100</v>
      </c>
      <c r="O64" s="2">
        <v>0.24984999999999999</v>
      </c>
      <c r="P64" s="2">
        <v>0.18</v>
      </c>
    </row>
    <row r="65" spans="1:16">
      <c r="A65" s="3" t="s">
        <v>225</v>
      </c>
      <c r="B65" s="2">
        <v>-100</v>
      </c>
      <c r="C65" s="2">
        <v>-100</v>
      </c>
      <c r="D65" s="2">
        <v>-100</v>
      </c>
      <c r="E65" s="2">
        <v>-100</v>
      </c>
      <c r="F65" s="2">
        <v>-100</v>
      </c>
      <c r="G65" s="2">
        <v>-100</v>
      </c>
      <c r="H65" s="2">
        <v>-100</v>
      </c>
      <c r="I65" s="2">
        <v>-100</v>
      </c>
      <c r="J65" s="2">
        <v>1607</v>
      </c>
      <c r="K65" s="2">
        <v>7702.8482649999996</v>
      </c>
      <c r="L65" s="2">
        <v>7460.3320000000003</v>
      </c>
      <c r="M65" s="2">
        <v>589.98519999999996</v>
      </c>
      <c r="N65" s="2">
        <v>-100</v>
      </c>
      <c r="O65" s="2">
        <v>0.222277</v>
      </c>
      <c r="P65" s="2">
        <v>0.17</v>
      </c>
    </row>
    <row r="66" spans="1:16">
      <c r="A66" s="3" t="s">
        <v>224</v>
      </c>
      <c r="B66" s="2">
        <v>-100</v>
      </c>
      <c r="C66" s="2">
        <v>-100</v>
      </c>
      <c r="D66" s="2">
        <v>-100</v>
      </c>
      <c r="E66" s="2">
        <v>-100</v>
      </c>
      <c r="F66" s="2">
        <v>-100</v>
      </c>
      <c r="G66" s="2">
        <v>-100</v>
      </c>
      <c r="H66" s="2">
        <v>-100</v>
      </c>
      <c r="I66" s="2">
        <v>-100</v>
      </c>
      <c r="J66" s="2">
        <v>1610.5229999999999</v>
      </c>
      <c r="K66" s="2">
        <v>8148.652</v>
      </c>
      <c r="L66" s="2">
        <v>8148.652</v>
      </c>
      <c r="M66" s="2">
        <v>443.16489999999999</v>
      </c>
      <c r="N66" s="2">
        <v>-100</v>
      </c>
      <c r="O66" s="2">
        <v>0.18820700000000001</v>
      </c>
      <c r="P66" s="2">
        <v>0.14000000000000001</v>
      </c>
    </row>
    <row r="67" spans="1:16">
      <c r="A67" s="3" t="s">
        <v>223</v>
      </c>
      <c r="B67" s="2">
        <v>-100</v>
      </c>
      <c r="C67" s="2">
        <v>-100</v>
      </c>
      <c r="D67" s="2">
        <v>-100</v>
      </c>
      <c r="E67" s="2">
        <v>-100</v>
      </c>
      <c r="F67" s="2">
        <v>-100</v>
      </c>
      <c r="G67" s="2">
        <v>-100</v>
      </c>
      <c r="H67" s="2">
        <v>-100</v>
      </c>
      <c r="I67" s="2">
        <v>-100</v>
      </c>
      <c r="J67" s="2">
        <v>1635.5</v>
      </c>
      <c r="K67" s="2">
        <v>8903.5079999999998</v>
      </c>
      <c r="L67" s="2">
        <v>8903.5079999999998</v>
      </c>
      <c r="M67" s="2">
        <v>421.7713</v>
      </c>
      <c r="N67" s="2">
        <v>-100</v>
      </c>
      <c r="O67" s="2">
        <v>0.143404</v>
      </c>
      <c r="P67" s="2">
        <v>0.1100917</v>
      </c>
    </row>
    <row r="68" spans="1:16">
      <c r="A68" s="3" t="s">
        <v>222</v>
      </c>
      <c r="B68" s="2">
        <v>-100</v>
      </c>
      <c r="C68" s="2">
        <v>-100</v>
      </c>
      <c r="D68" s="2">
        <v>-100</v>
      </c>
      <c r="E68" s="2">
        <v>-100</v>
      </c>
      <c r="F68" s="2">
        <v>-100</v>
      </c>
      <c r="G68" s="2">
        <v>-100</v>
      </c>
      <c r="H68" s="2">
        <v>-100</v>
      </c>
      <c r="I68" s="2">
        <v>-100</v>
      </c>
      <c r="J68" s="2">
        <v>1680.5</v>
      </c>
      <c r="K68" s="2">
        <v>10055.35</v>
      </c>
      <c r="L68" s="2">
        <v>10055.35</v>
      </c>
      <c r="M68" s="2">
        <v>637.83780000000002</v>
      </c>
      <c r="N68" s="2">
        <v>-100</v>
      </c>
      <c r="O68" s="2">
        <v>9.0285000000000004E-2</v>
      </c>
      <c r="P68" s="2">
        <v>6.0150380000000003E-2</v>
      </c>
    </row>
    <row r="69" spans="1:16">
      <c r="A69" s="3" t="s">
        <v>221</v>
      </c>
      <c r="B69" s="2">
        <v>-100</v>
      </c>
      <c r="C69" s="2">
        <v>-100</v>
      </c>
      <c r="D69" s="2">
        <v>-100</v>
      </c>
      <c r="E69" s="2">
        <v>-100</v>
      </c>
      <c r="F69" s="2">
        <v>-100</v>
      </c>
      <c r="G69" s="2">
        <v>-100</v>
      </c>
      <c r="H69" s="2">
        <v>-100</v>
      </c>
      <c r="I69" s="2">
        <v>-100</v>
      </c>
      <c r="J69" s="2">
        <v>1735.5</v>
      </c>
      <c r="K69" s="2">
        <v>11374.46</v>
      </c>
      <c r="L69" s="2">
        <v>11374.46</v>
      </c>
      <c r="M69" s="2">
        <v>-100</v>
      </c>
      <c r="N69" s="2">
        <v>-100</v>
      </c>
      <c r="O69" s="2">
        <v>5.4204000000000002E-2</v>
      </c>
      <c r="P69" s="2">
        <v>2.9593100000000001E-2</v>
      </c>
    </row>
    <row r="70" spans="1:16">
      <c r="A70" s="3" t="s">
        <v>220</v>
      </c>
      <c r="B70" s="2">
        <v>-100</v>
      </c>
      <c r="C70" s="2">
        <v>-100</v>
      </c>
      <c r="D70" s="2">
        <v>-100</v>
      </c>
      <c r="E70" s="2">
        <v>-100</v>
      </c>
      <c r="F70" s="2">
        <v>-100</v>
      </c>
      <c r="G70" s="2">
        <v>-100</v>
      </c>
      <c r="H70" s="2">
        <v>-100</v>
      </c>
      <c r="I70" s="2">
        <v>-100</v>
      </c>
      <c r="J70" s="2">
        <v>1809.5</v>
      </c>
      <c r="K70" s="2">
        <v>13822.63</v>
      </c>
      <c r="L70" s="2">
        <v>13822.63</v>
      </c>
      <c r="M70" s="2">
        <v>-100</v>
      </c>
      <c r="N70" s="2">
        <v>-100</v>
      </c>
      <c r="O70" s="2">
        <v>4.5725000000000002E-2</v>
      </c>
      <c r="P70" s="2">
        <v>3.1496059999999999E-2</v>
      </c>
    </row>
    <row r="71" spans="1:16">
      <c r="A71" s="3" t="s">
        <v>219</v>
      </c>
      <c r="B71" s="2">
        <v>-100</v>
      </c>
      <c r="C71" s="2">
        <v>-100</v>
      </c>
      <c r="D71" s="2">
        <v>-100</v>
      </c>
      <c r="E71" s="2">
        <v>-100</v>
      </c>
      <c r="F71" s="2">
        <v>-100</v>
      </c>
      <c r="G71" s="2">
        <v>-100</v>
      </c>
      <c r="H71" s="2">
        <v>-100</v>
      </c>
      <c r="I71" s="2">
        <v>-100</v>
      </c>
      <c r="J71" s="2">
        <v>1943.5</v>
      </c>
      <c r="K71" s="2">
        <v>15469.63</v>
      </c>
      <c r="L71" s="2">
        <v>15469.63</v>
      </c>
      <c r="M71" s="2">
        <v>-100</v>
      </c>
      <c r="N71" s="2">
        <v>-100</v>
      </c>
      <c r="O71" s="2">
        <v>3.7850000000000002E-2</v>
      </c>
      <c r="P71" s="2">
        <v>2.8235300000000001E-2</v>
      </c>
    </row>
    <row r="72" spans="1:16">
      <c r="A72" s="3" t="s">
        <v>218</v>
      </c>
      <c r="B72" s="2">
        <v>-100</v>
      </c>
      <c r="C72" s="2">
        <v>-100</v>
      </c>
      <c r="D72" s="2">
        <v>-100</v>
      </c>
      <c r="E72" s="2">
        <v>-100</v>
      </c>
      <c r="F72" s="2">
        <v>-100</v>
      </c>
      <c r="G72" s="2">
        <v>-100</v>
      </c>
      <c r="H72" s="2">
        <v>-100</v>
      </c>
      <c r="I72" s="2">
        <v>-100</v>
      </c>
      <c r="J72" s="2">
        <v>2052.5</v>
      </c>
      <c r="K72" s="2">
        <v>17271.14</v>
      </c>
      <c r="L72" s="2">
        <v>17271.14</v>
      </c>
      <c r="M72" s="2">
        <v>-100</v>
      </c>
      <c r="N72" s="2">
        <v>-100</v>
      </c>
      <c r="O72" s="2">
        <v>2.9104999999999999E-2</v>
      </c>
      <c r="P72" s="2">
        <v>2.099738E-2</v>
      </c>
    </row>
    <row r="73" spans="1:16">
      <c r="A73" s="3" t="s">
        <v>217</v>
      </c>
      <c r="B73" s="2">
        <v>-100</v>
      </c>
      <c r="C73" s="2">
        <v>-100</v>
      </c>
      <c r="D73" s="2">
        <v>-100</v>
      </c>
      <c r="E73" s="2">
        <v>-100</v>
      </c>
      <c r="F73" s="2">
        <v>-100</v>
      </c>
      <c r="G73" s="2">
        <v>-100</v>
      </c>
      <c r="H73" s="2">
        <v>-100</v>
      </c>
      <c r="I73" s="2">
        <v>-100</v>
      </c>
      <c r="J73" s="2">
        <v>2274.5</v>
      </c>
      <c r="K73" s="2">
        <v>19462.169999999998</v>
      </c>
      <c r="L73" s="2">
        <v>19462.169999999998</v>
      </c>
      <c r="M73" s="2">
        <v>-100</v>
      </c>
      <c r="N73" s="2">
        <v>-100</v>
      </c>
      <c r="O73" s="2">
        <v>2.1045999999999999E-2</v>
      </c>
      <c r="P73" s="2">
        <v>1.437126E-2</v>
      </c>
    </row>
    <row r="74" spans="1:16">
      <c r="A74" s="3" t="s">
        <v>216</v>
      </c>
      <c r="B74" s="2">
        <v>-100</v>
      </c>
      <c r="C74" s="2">
        <v>-100</v>
      </c>
      <c r="D74" s="2">
        <v>-100</v>
      </c>
      <c r="E74" s="2">
        <v>-100</v>
      </c>
      <c r="F74" s="2">
        <v>-100</v>
      </c>
      <c r="G74" s="2">
        <v>-100</v>
      </c>
      <c r="H74" s="2">
        <v>-100</v>
      </c>
      <c r="I74" s="2">
        <v>-100</v>
      </c>
      <c r="J74" s="2">
        <v>2487.5</v>
      </c>
      <c r="K74" s="2">
        <v>22356.13</v>
      </c>
      <c r="L74" s="2">
        <v>22356.13</v>
      </c>
      <c r="M74" s="2">
        <v>-100</v>
      </c>
      <c r="N74" s="2">
        <v>-100</v>
      </c>
      <c r="O74" s="2">
        <v>1.2354E-2</v>
      </c>
      <c r="P74" s="2">
        <v>7.2617250000000001E-3</v>
      </c>
    </row>
    <row r="75" spans="1:16">
      <c r="A75" s="3" t="s">
        <v>215</v>
      </c>
      <c r="B75" s="2">
        <v>-100</v>
      </c>
      <c r="C75" s="2">
        <v>-100</v>
      </c>
      <c r="D75" s="2">
        <v>-100</v>
      </c>
      <c r="E75" s="2">
        <v>-100</v>
      </c>
      <c r="F75" s="2">
        <v>-100</v>
      </c>
      <c r="G75" s="2">
        <v>-100</v>
      </c>
      <c r="H75" s="2">
        <v>-100</v>
      </c>
      <c r="I75" s="2">
        <v>-100</v>
      </c>
      <c r="J75" s="2">
        <v>2765.5</v>
      </c>
      <c r="K75" s="2">
        <v>25457.86</v>
      </c>
      <c r="L75" s="2">
        <v>23673.4</v>
      </c>
      <c r="M75" s="2">
        <v>-100</v>
      </c>
      <c r="N75" s="2">
        <v>-100</v>
      </c>
      <c r="O75" s="2">
        <v>7.8890000000000002E-3</v>
      </c>
      <c r="P75" s="2">
        <v>4.8241209999999998E-3</v>
      </c>
    </row>
    <row r="76" spans="1:16">
      <c r="A76" s="3" t="s">
        <v>214</v>
      </c>
      <c r="B76" s="2">
        <v>-100</v>
      </c>
      <c r="C76" s="2">
        <v>-100</v>
      </c>
      <c r="D76" s="2">
        <v>-100</v>
      </c>
      <c r="E76" s="2">
        <v>-100</v>
      </c>
      <c r="F76" s="2">
        <v>-100</v>
      </c>
      <c r="G76" s="2">
        <v>-100</v>
      </c>
      <c r="H76" s="2">
        <v>-100</v>
      </c>
      <c r="I76" s="2">
        <v>-100</v>
      </c>
      <c r="J76" s="2">
        <v>3109.5</v>
      </c>
      <c r="K76" s="2">
        <v>34660.69</v>
      </c>
      <c r="L76" s="2">
        <v>33051.69</v>
      </c>
      <c r="M76" s="2">
        <v>-100</v>
      </c>
      <c r="N76" s="2">
        <v>-100</v>
      </c>
      <c r="O76" s="2">
        <v>6.5970000000000004E-3</v>
      </c>
      <c r="P76" s="2">
        <v>4.5112779999999996E-3</v>
      </c>
    </row>
    <row r="77" spans="1:16">
      <c r="A77" s="3" t="s">
        <v>213</v>
      </c>
      <c r="B77" s="2">
        <v>-100</v>
      </c>
      <c r="C77" s="2">
        <v>-100</v>
      </c>
      <c r="D77" s="2">
        <v>-100</v>
      </c>
      <c r="E77" s="2">
        <v>-100</v>
      </c>
      <c r="F77" s="2">
        <v>-100</v>
      </c>
      <c r="G77" s="2">
        <v>-100</v>
      </c>
      <c r="H77" s="2">
        <v>-100</v>
      </c>
      <c r="I77" s="2">
        <v>-100</v>
      </c>
      <c r="J77" s="2">
        <v>4406.5</v>
      </c>
      <c r="K77" s="2">
        <v>35802.78</v>
      </c>
      <c r="L77" s="2">
        <v>35294.78</v>
      </c>
      <c r="M77" s="2">
        <v>-100</v>
      </c>
      <c r="N77" s="2">
        <v>-100</v>
      </c>
      <c r="O77" s="2">
        <v>5.0169999999999998E-3</v>
      </c>
      <c r="P77" s="2">
        <v>2.8402369999999998E-3</v>
      </c>
    </row>
    <row r="78" spans="1:16">
      <c r="A78" s="3" t="s">
        <v>212</v>
      </c>
      <c r="B78" s="2">
        <v>-100</v>
      </c>
      <c r="C78" s="2">
        <v>-100</v>
      </c>
      <c r="D78" s="2">
        <v>-100</v>
      </c>
      <c r="E78" s="2">
        <v>-100</v>
      </c>
      <c r="F78" s="2">
        <v>-100</v>
      </c>
      <c r="G78" s="2">
        <v>-100</v>
      </c>
      <c r="H78" s="2">
        <v>-100</v>
      </c>
      <c r="I78" s="2">
        <v>-100</v>
      </c>
      <c r="J78" s="2">
        <v>4653.5</v>
      </c>
      <c r="K78" s="2">
        <v>37278.61</v>
      </c>
      <c r="L78" s="2">
        <v>37147.96</v>
      </c>
      <c r="M78" s="2">
        <v>-100</v>
      </c>
      <c r="N78" s="2">
        <v>-100</v>
      </c>
      <c r="O78" s="2">
        <v>4.5900000000000003E-3</v>
      </c>
      <c r="P78" s="2">
        <v>3.9337809999999999E-3</v>
      </c>
    </row>
    <row r="79" spans="1:16">
      <c r="A79" s="3" t="s">
        <v>211</v>
      </c>
      <c r="B79" s="2">
        <v>-100</v>
      </c>
      <c r="C79" s="2">
        <v>-100</v>
      </c>
      <c r="D79" s="2">
        <v>-100</v>
      </c>
      <c r="E79" s="2">
        <v>-100</v>
      </c>
      <c r="F79" s="2">
        <v>-100</v>
      </c>
      <c r="G79" s="2">
        <v>-100</v>
      </c>
      <c r="H79" s="2">
        <v>-100</v>
      </c>
      <c r="I79" s="2">
        <v>-100</v>
      </c>
      <c r="J79" s="2">
        <v>5430.5</v>
      </c>
      <c r="K79" s="2">
        <v>36758.03</v>
      </c>
      <c r="L79" s="2">
        <v>36758.03</v>
      </c>
      <c r="M79" s="2">
        <v>-100</v>
      </c>
      <c r="N79" s="2">
        <v>-100</v>
      </c>
      <c r="O79" s="2">
        <v>-100</v>
      </c>
      <c r="P79" s="2">
        <v>4.03361E-3</v>
      </c>
    </row>
    <row r="80" spans="1:16">
      <c r="A80" s="3" t="s">
        <v>210</v>
      </c>
      <c r="B80" s="2">
        <v>-100</v>
      </c>
      <c r="C80" s="2">
        <v>-100</v>
      </c>
      <c r="D80" s="2">
        <v>-100</v>
      </c>
      <c r="E80" s="2">
        <v>-100</v>
      </c>
      <c r="F80" s="2">
        <v>-100</v>
      </c>
      <c r="G80" s="2">
        <v>-100</v>
      </c>
      <c r="H80" s="2">
        <v>-100</v>
      </c>
      <c r="I80" s="2">
        <v>-100</v>
      </c>
      <c r="J80" s="2">
        <v>-100</v>
      </c>
      <c r="K80" s="2">
        <v>35800.49</v>
      </c>
      <c r="L80" s="2">
        <v>35800.49</v>
      </c>
      <c r="M80" s="2">
        <v>-100</v>
      </c>
      <c r="N80" s="2">
        <v>-100</v>
      </c>
      <c r="O80" s="2">
        <v>-100</v>
      </c>
      <c r="P80" s="2">
        <v>2.7907000000000001E-3</v>
      </c>
    </row>
    <row r="81" spans="1:16">
      <c r="A81" s="3" t="s">
        <v>209</v>
      </c>
      <c r="B81" s="2">
        <v>-100</v>
      </c>
      <c r="C81" s="2">
        <v>-100</v>
      </c>
      <c r="D81" s="2">
        <v>-100</v>
      </c>
      <c r="E81" s="2">
        <v>-100</v>
      </c>
      <c r="F81" s="2">
        <v>-100</v>
      </c>
      <c r="G81" s="2">
        <v>-100</v>
      </c>
      <c r="H81" s="2">
        <v>-100</v>
      </c>
      <c r="I81" s="2">
        <v>-100</v>
      </c>
      <c r="J81" s="2">
        <v>-100</v>
      </c>
      <c r="K81" s="2">
        <v>34682.42</v>
      </c>
      <c r="L81" s="2">
        <v>34682.42</v>
      </c>
      <c r="M81" s="2">
        <v>-100</v>
      </c>
      <c r="N81" s="2">
        <v>-100</v>
      </c>
      <c r="O81" s="2">
        <v>-100</v>
      </c>
      <c r="P81" s="2">
        <v>1.3833000000000001E-3</v>
      </c>
    </row>
    <row r="82" spans="1:16">
      <c r="A82" s="3" t="s">
        <v>208</v>
      </c>
      <c r="B82" s="2">
        <v>-100</v>
      </c>
      <c r="C82" s="2">
        <v>-100</v>
      </c>
      <c r="D82" s="2">
        <v>-100</v>
      </c>
      <c r="E82" s="2">
        <v>-100</v>
      </c>
      <c r="F82" s="2">
        <v>-100</v>
      </c>
      <c r="G82" s="2">
        <v>-100</v>
      </c>
      <c r="H82" s="2">
        <v>-100</v>
      </c>
      <c r="I82" s="2">
        <v>-100</v>
      </c>
      <c r="J82" s="2">
        <v>-100</v>
      </c>
      <c r="K82" s="2">
        <v>33555.589999999997</v>
      </c>
      <c r="L82" s="2">
        <v>33555.589999999997</v>
      </c>
      <c r="M82" s="2">
        <v>-100</v>
      </c>
      <c r="N82" s="2">
        <v>-100</v>
      </c>
      <c r="O82" s="2">
        <v>-100</v>
      </c>
      <c r="P82" s="2">
        <v>-100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110"/>
  <sheetViews>
    <sheetView zoomScaleSheetLayoutView="1" workbookViewId="0"/>
  </sheetViews>
  <sheetFormatPr defaultRowHeight="12.75"/>
  <cols>
    <col min="1" max="31" width="9.140625" style="2"/>
    <col min="32" max="16384" width="9.140625" style="1"/>
  </cols>
  <sheetData>
    <row r="1" spans="1:31">
      <c r="A1" s="2" t="s">
        <v>169</v>
      </c>
    </row>
    <row r="2" spans="1:31">
      <c r="B2" s="2" t="s">
        <v>204</v>
      </c>
      <c r="D2" s="2" t="s">
        <v>203</v>
      </c>
      <c r="F2" s="2" t="s">
        <v>202</v>
      </c>
      <c r="I2" s="2" t="s">
        <v>201</v>
      </c>
      <c r="K2" s="2" t="s">
        <v>200</v>
      </c>
      <c r="M2" s="2" t="s">
        <v>199</v>
      </c>
      <c r="O2" s="2" t="s">
        <v>198</v>
      </c>
      <c r="P2" s="2" t="s">
        <v>197</v>
      </c>
      <c r="Q2" s="2" t="s">
        <v>196</v>
      </c>
      <c r="R2" s="2" t="s">
        <v>195</v>
      </c>
      <c r="T2" s="2" t="s">
        <v>194</v>
      </c>
      <c r="W2" s="2" t="s">
        <v>74</v>
      </c>
      <c r="X2" s="2" t="s">
        <v>165</v>
      </c>
      <c r="Y2" s="2" t="s">
        <v>164</v>
      </c>
      <c r="Z2" s="2" t="s">
        <v>163</v>
      </c>
      <c r="AB2" s="2" t="s">
        <v>207</v>
      </c>
      <c r="AD2" s="2" t="s">
        <v>206</v>
      </c>
    </row>
    <row r="3" spans="1:31">
      <c r="B3" s="2" t="s">
        <v>99</v>
      </c>
      <c r="C3" s="2" t="s">
        <v>205</v>
      </c>
      <c r="D3" s="2" t="s">
        <v>99</v>
      </c>
      <c r="E3" s="2" t="s">
        <v>205</v>
      </c>
      <c r="F3" s="2" t="s">
        <v>99</v>
      </c>
      <c r="G3" s="2" t="s">
        <v>205</v>
      </c>
      <c r="H3" s="2" t="s">
        <v>191</v>
      </c>
      <c r="I3" s="2" t="s">
        <v>99</v>
      </c>
      <c r="J3" s="2" t="s">
        <v>191</v>
      </c>
      <c r="K3" s="2" t="s">
        <v>99</v>
      </c>
      <c r="L3" s="2" t="s">
        <v>191</v>
      </c>
      <c r="M3" s="2" t="s">
        <v>99</v>
      </c>
      <c r="N3" s="2" t="s">
        <v>191</v>
      </c>
      <c r="O3" s="2" t="s">
        <v>192</v>
      </c>
      <c r="P3" s="2" t="s">
        <v>192</v>
      </c>
      <c r="Q3" s="2" t="s">
        <v>192</v>
      </c>
      <c r="R3" s="2" t="s">
        <v>192</v>
      </c>
      <c r="S3" s="2" t="s">
        <v>191</v>
      </c>
      <c r="T3" s="2" t="s">
        <v>99</v>
      </c>
      <c r="U3" s="2" t="s">
        <v>191</v>
      </c>
    </row>
    <row r="5" spans="1:31">
      <c r="A5" s="2" t="s">
        <v>18</v>
      </c>
      <c r="B5" s="2">
        <v>0</v>
      </c>
      <c r="D5" s="2">
        <v>938</v>
      </c>
      <c r="F5" s="2">
        <v>0</v>
      </c>
      <c r="I5" s="2">
        <v>142</v>
      </c>
      <c r="K5" s="2">
        <v>97</v>
      </c>
      <c r="M5" s="2">
        <v>0</v>
      </c>
      <c r="O5" s="2">
        <v>0</v>
      </c>
      <c r="R5" s="2">
        <v>0</v>
      </c>
      <c r="T5" s="2">
        <v>0</v>
      </c>
      <c r="W5" s="2">
        <v>1</v>
      </c>
      <c r="X5" s="2">
        <v>529.09500000000003</v>
      </c>
    </row>
    <row r="6" spans="1:31">
      <c r="A6" s="2">
        <v>1791</v>
      </c>
      <c r="B6" s="2">
        <v>62</v>
      </c>
      <c r="D6" s="2">
        <v>3502</v>
      </c>
      <c r="F6" s="2">
        <v>2</v>
      </c>
      <c r="I6" s="2">
        <v>764</v>
      </c>
      <c r="K6" s="2">
        <f>622+97</f>
        <v>719</v>
      </c>
      <c r="M6" s="2">
        <v>0</v>
      </c>
      <c r="O6" s="2">
        <v>0</v>
      </c>
      <c r="R6" s="2">
        <v>0</v>
      </c>
      <c r="T6" s="2">
        <v>0</v>
      </c>
      <c r="W6" s="2">
        <v>4</v>
      </c>
      <c r="X6" s="2">
        <v>627.50545099999999</v>
      </c>
      <c r="Y6" s="2">
        <v>528.28318200000001</v>
      </c>
      <c r="Z6" s="4">
        <f t="shared" ref="Z6:Z25" si="0">W6/Y6</f>
        <v>7.5716966511343532E-3</v>
      </c>
    </row>
    <row r="7" spans="1:31">
      <c r="A7" s="2" t="s">
        <v>15</v>
      </c>
      <c r="B7" s="2">
        <v>2836</v>
      </c>
      <c r="D7" s="2">
        <v>5836</v>
      </c>
      <c r="F7" s="2">
        <v>178</v>
      </c>
      <c r="I7" s="2">
        <v>6044</v>
      </c>
      <c r="K7" s="2">
        <f>719+2504+1734+2938</f>
        <v>7895</v>
      </c>
      <c r="M7" s="2">
        <v>97</v>
      </c>
      <c r="O7" s="2">
        <v>0</v>
      </c>
      <c r="R7" s="2">
        <v>10</v>
      </c>
      <c r="T7" s="2">
        <v>70</v>
      </c>
      <c r="W7" s="2">
        <v>15</v>
      </c>
      <c r="X7" s="2">
        <v>724.05441899999994</v>
      </c>
      <c r="Y7" s="2">
        <v>649.694613</v>
      </c>
      <c r="Z7" s="4">
        <f t="shared" si="0"/>
        <v>2.3087770315251176E-2</v>
      </c>
    </row>
    <row r="8" spans="1:31">
      <c r="A8" s="2" t="s">
        <v>13</v>
      </c>
      <c r="B8" s="2">
        <v>9910</v>
      </c>
      <c r="D8" s="2">
        <v>11825</v>
      </c>
      <c r="F8" s="2">
        <v>2104</v>
      </c>
      <c r="I8" s="2">
        <v>16861</v>
      </c>
      <c r="K8" s="2">
        <f>7895+3403+1984+4209+3174</f>
        <v>20665</v>
      </c>
      <c r="M8" s="2">
        <v>535</v>
      </c>
      <c r="O8" s="2">
        <v>11</v>
      </c>
      <c r="P8" s="2">
        <v>0</v>
      </c>
      <c r="Q8" s="2">
        <v>0</v>
      </c>
      <c r="R8" s="2">
        <v>256</v>
      </c>
      <c r="T8" s="2">
        <v>837</v>
      </c>
      <c r="W8" s="2">
        <v>42</v>
      </c>
      <c r="X8" s="2">
        <v>809.87088100000005</v>
      </c>
      <c r="Y8" s="2">
        <v>777.06423900000004</v>
      </c>
      <c r="Z8" s="4">
        <f t="shared" si="0"/>
        <v>5.4049585468055487E-2</v>
      </c>
    </row>
    <row r="9" spans="1:31">
      <c r="A9" s="2" t="s">
        <v>11</v>
      </c>
      <c r="B9" s="2">
        <v>23904</v>
      </c>
      <c r="D9" s="2">
        <v>21829</v>
      </c>
      <c r="F9" s="2">
        <v>7260</v>
      </c>
      <c r="I9" s="2">
        <v>31031</v>
      </c>
      <c r="K9" s="2">
        <f>20665+3606+1261+2938+3915+2761</f>
        <v>35146</v>
      </c>
      <c r="M9" s="2">
        <v>1432</v>
      </c>
      <c r="O9" s="2">
        <v>401</v>
      </c>
      <c r="P9" s="2">
        <v>12</v>
      </c>
      <c r="Q9" s="2">
        <v>12</v>
      </c>
      <c r="R9" s="2">
        <v>1351</v>
      </c>
      <c r="T9" s="2">
        <v>2527</v>
      </c>
      <c r="W9" s="2">
        <v>90</v>
      </c>
      <c r="X9" s="2">
        <v>899.44114200000001</v>
      </c>
      <c r="Y9" s="2">
        <v>925.97012400000006</v>
      </c>
      <c r="Z9" s="4">
        <f t="shared" si="0"/>
        <v>9.7195360484438262E-2</v>
      </c>
    </row>
    <row r="10" spans="1:31">
      <c r="A10" s="2" t="s">
        <v>7</v>
      </c>
      <c r="B10" s="2">
        <v>35855</v>
      </c>
      <c r="D10" s="2">
        <v>29276</v>
      </c>
      <c r="F10" s="2">
        <v>14628</v>
      </c>
      <c r="I10" s="2">
        <v>38064</v>
      </c>
      <c r="K10" s="2">
        <f>35146+2387+1617+1927+1693</f>
        <v>42770</v>
      </c>
      <c r="M10" s="2">
        <v>2218</v>
      </c>
      <c r="O10" s="2">
        <v>1474</v>
      </c>
      <c r="P10" s="2">
        <v>186</v>
      </c>
      <c r="Q10" s="2">
        <v>188</v>
      </c>
      <c r="R10" s="2">
        <v>2770</v>
      </c>
      <c r="T10" s="2">
        <v>4242</v>
      </c>
      <c r="W10" s="2">
        <v>129</v>
      </c>
      <c r="X10" s="2">
        <v>986.32757200000003</v>
      </c>
      <c r="Y10" s="2">
        <v>1060.715273</v>
      </c>
      <c r="Z10" s="4">
        <f t="shared" si="0"/>
        <v>0.12161604841905581</v>
      </c>
    </row>
    <row r="11" spans="1:31">
      <c r="A11" s="2" t="s">
        <v>5</v>
      </c>
      <c r="B11" s="2">
        <v>49255</v>
      </c>
      <c r="D11" s="2">
        <v>35437</v>
      </c>
      <c r="F11" s="2">
        <v>23698</v>
      </c>
      <c r="I11" s="2">
        <v>44234</v>
      </c>
      <c r="K11" s="2">
        <f>42770+1912+1092+1667+1959</f>
        <v>49400</v>
      </c>
      <c r="M11" s="2">
        <v>2869</v>
      </c>
      <c r="O11" s="2">
        <v>2475</v>
      </c>
      <c r="P11" s="2">
        <v>577</v>
      </c>
      <c r="Q11" s="2">
        <v>511</v>
      </c>
      <c r="R11" s="2">
        <v>3682</v>
      </c>
      <c r="T11" s="2">
        <v>5506</v>
      </c>
      <c r="W11" s="2">
        <v>170</v>
      </c>
      <c r="X11" s="2">
        <v>1042.8882189999999</v>
      </c>
      <c r="Y11" s="2">
        <v>1164.7693039999999</v>
      </c>
      <c r="Z11" s="4">
        <f t="shared" si="0"/>
        <v>0.14595164846480194</v>
      </c>
    </row>
    <row r="12" spans="1:31">
      <c r="A12" s="2" t="s">
        <v>4</v>
      </c>
      <c r="B12" s="2">
        <f>B11+8619</f>
        <v>57874</v>
      </c>
      <c r="D12" s="2">
        <v>44065</v>
      </c>
      <c r="F12" s="2">
        <f>F11+16100</f>
        <v>39798</v>
      </c>
      <c r="H12" s="2">
        <v>1201</v>
      </c>
      <c r="I12" s="2">
        <f>I11+5404</f>
        <v>49638</v>
      </c>
      <c r="K12" s="2">
        <f>K11+5988</f>
        <v>55388</v>
      </c>
      <c r="M12" s="2">
        <f>M11+784</f>
        <v>3653</v>
      </c>
      <c r="O12" s="2">
        <f>O11+725</f>
        <v>3200</v>
      </c>
      <c r="P12" s="2">
        <f>P11+435</f>
        <v>1012</v>
      </c>
      <c r="Q12" s="2">
        <f>Q11+475</f>
        <v>986</v>
      </c>
      <c r="R12" s="2">
        <f>3682+785</f>
        <v>4467</v>
      </c>
      <c r="T12" s="2">
        <f>T11+1327</f>
        <v>6833</v>
      </c>
      <c r="W12" s="2">
        <v>215</v>
      </c>
      <c r="X12" s="2">
        <v>1110.820712</v>
      </c>
      <c r="Y12" s="2">
        <v>1283.273226</v>
      </c>
      <c r="Z12" s="4">
        <f t="shared" si="0"/>
        <v>0.16754031459859975</v>
      </c>
    </row>
    <row r="13" spans="1:31">
      <c r="A13" s="2" t="s">
        <v>3</v>
      </c>
      <c r="B13" s="2">
        <v>74707</v>
      </c>
      <c r="D13" s="2">
        <v>48607</v>
      </c>
      <c r="F13" s="2">
        <f>F12+14397</f>
        <v>54195</v>
      </c>
      <c r="H13" s="2">
        <v>2471</v>
      </c>
      <c r="I13" s="2">
        <f>49638+2747</f>
        <v>52385</v>
      </c>
      <c r="J13" s="2">
        <v>0</v>
      </c>
      <c r="K13" s="2">
        <f>K12+2996</f>
        <v>58384</v>
      </c>
      <c r="L13" s="2">
        <v>0</v>
      </c>
      <c r="M13" s="2">
        <f>3653+326</f>
        <v>3979</v>
      </c>
      <c r="N13" s="2">
        <v>0</v>
      </c>
      <c r="O13" s="2">
        <f>O12+330</f>
        <v>3530</v>
      </c>
      <c r="P13" s="2">
        <f>P12+292</f>
        <v>1304</v>
      </c>
      <c r="Q13" s="2">
        <f>Q12+338</f>
        <v>1324</v>
      </c>
      <c r="R13" s="2">
        <f>4467+398</f>
        <v>4865</v>
      </c>
      <c r="T13" s="2">
        <f>T12+740</f>
        <v>7573</v>
      </c>
      <c r="U13" s="2">
        <v>0</v>
      </c>
      <c r="W13" s="2">
        <v>246</v>
      </c>
      <c r="X13" s="2">
        <v>1164.4646990000001</v>
      </c>
      <c r="Y13" s="2">
        <v>1372.5853050000001</v>
      </c>
      <c r="Z13" s="4">
        <f t="shared" si="0"/>
        <v>0.17922383337770034</v>
      </c>
      <c r="AB13" s="2">
        <v>16</v>
      </c>
      <c r="AC13" s="4">
        <f t="shared" ref="AC13:AC24" si="1">AB13/X13</f>
        <v>1.3740219015432771E-2</v>
      </c>
      <c r="AD13" s="2">
        <v>100</v>
      </c>
      <c r="AE13" s="4">
        <f>AD13/X13</f>
        <v>8.5876368846454817E-2</v>
      </c>
    </row>
    <row r="14" spans="1:31">
      <c r="A14" s="2" t="s">
        <v>2</v>
      </c>
      <c r="B14" s="2">
        <v>91950</v>
      </c>
      <c r="D14" s="2">
        <v>54325</v>
      </c>
      <c r="F14" s="2">
        <f>F13+22714</f>
        <v>76909</v>
      </c>
      <c r="H14" s="2">
        <v>8108</v>
      </c>
      <c r="I14" s="2">
        <f>52385+4206</f>
        <v>56591</v>
      </c>
      <c r="J14" s="2">
        <v>0</v>
      </c>
      <c r="K14" s="2">
        <f>K13+4703</f>
        <v>63087</v>
      </c>
      <c r="L14" s="2">
        <v>0</v>
      </c>
      <c r="M14" s="2">
        <f>3979+504</f>
        <v>4483</v>
      </c>
      <c r="N14" s="2">
        <v>44</v>
      </c>
      <c r="O14" s="2">
        <f>O13+488</f>
        <v>4018</v>
      </c>
      <c r="P14" s="2">
        <f>P13+399</f>
        <v>1703</v>
      </c>
      <c r="Q14" s="2">
        <f>Q13+460</f>
        <v>1784</v>
      </c>
      <c r="R14" s="2">
        <f>4865+486</f>
        <v>5351</v>
      </c>
      <c r="T14" s="2">
        <f>T13+980</f>
        <v>8553</v>
      </c>
      <c r="U14" s="2">
        <v>2</v>
      </c>
      <c r="W14" s="2">
        <v>284</v>
      </c>
      <c r="X14" s="2">
        <v>1201.988075</v>
      </c>
      <c r="Y14" s="2">
        <v>1453.131625</v>
      </c>
      <c r="Z14" s="4">
        <f t="shared" si="0"/>
        <v>0.19543996917691472</v>
      </c>
      <c r="AB14" s="2">
        <v>32</v>
      </c>
      <c r="AC14" s="4">
        <f t="shared" si="1"/>
        <v>2.6622560294535368E-2</v>
      </c>
      <c r="AD14" s="2">
        <v>100</v>
      </c>
      <c r="AE14" s="4">
        <f>150/X14</f>
        <v>0.12479325138063455</v>
      </c>
    </row>
    <row r="15" spans="1:31">
      <c r="A15" s="2" t="s">
        <v>1</v>
      </c>
      <c r="B15" s="2">
        <v>100569</v>
      </c>
      <c r="D15" s="2">
        <v>59738</v>
      </c>
      <c r="F15" s="2">
        <v>97012</v>
      </c>
      <c r="H15" s="2">
        <v>14248</v>
      </c>
      <c r="I15" s="2">
        <v>62994</v>
      </c>
      <c r="J15" s="2">
        <v>0</v>
      </c>
      <c r="K15" s="2">
        <v>69075</v>
      </c>
      <c r="L15" s="2">
        <v>0</v>
      </c>
      <c r="M15" s="2">
        <v>5267</v>
      </c>
      <c r="N15" s="2">
        <v>325</v>
      </c>
      <c r="O15" s="2">
        <v>4742</v>
      </c>
      <c r="P15" s="2">
        <v>2138</v>
      </c>
      <c r="Q15" s="2">
        <v>2258</v>
      </c>
      <c r="R15" s="2">
        <v>6137</v>
      </c>
      <c r="T15" s="2">
        <v>9880</v>
      </c>
      <c r="U15" s="2">
        <v>27</v>
      </c>
      <c r="W15" s="2">
        <v>312</v>
      </c>
      <c r="X15" s="2">
        <v>1301.2797989999999</v>
      </c>
      <c r="Y15" s="2">
        <v>1584.0753139999999</v>
      </c>
      <c r="Z15" s="4">
        <f t="shared" si="0"/>
        <v>0.19696033215249006</v>
      </c>
      <c r="AB15" s="2">
        <f>51</f>
        <v>51</v>
      </c>
      <c r="AC15" s="4">
        <f t="shared" si="1"/>
        <v>3.9192186061131659E-2</v>
      </c>
      <c r="AD15" s="2">
        <v>200</v>
      </c>
      <c r="AE15" s="4">
        <f>AD15/X15</f>
        <v>0.15369484729855551</v>
      </c>
    </row>
    <row r="16" spans="1:31">
      <c r="A16" s="2" t="s">
        <v>0</v>
      </c>
      <c r="B16" s="2">
        <v>114536</v>
      </c>
      <c r="D16" s="2">
        <v>83213</v>
      </c>
      <c r="F16" s="2">
        <v>116340</v>
      </c>
      <c r="H16" s="2">
        <v>22508</v>
      </c>
      <c r="I16" s="2">
        <v>65537</v>
      </c>
      <c r="J16" s="2">
        <v>104</v>
      </c>
      <c r="K16" s="2">
        <v>73079</v>
      </c>
      <c r="L16" s="2">
        <v>18</v>
      </c>
      <c r="M16" s="2">
        <v>5572</v>
      </c>
      <c r="N16" s="2">
        <v>422</v>
      </c>
      <c r="O16" s="2">
        <v>4985</v>
      </c>
      <c r="P16" s="2">
        <v>2340</v>
      </c>
      <c r="Q16" s="2">
        <v>2496</v>
      </c>
      <c r="R16" s="2">
        <v>6373</v>
      </c>
      <c r="T16" s="2">
        <v>10279</v>
      </c>
      <c r="U16" s="2">
        <v>84</v>
      </c>
      <c r="W16" s="2">
        <v>337</v>
      </c>
      <c r="X16" s="2">
        <v>1368.218523</v>
      </c>
      <c r="Y16" s="2">
        <v>1678.9204689999999</v>
      </c>
      <c r="Z16" s="4">
        <f t="shared" si="0"/>
        <v>0.20072421905769261</v>
      </c>
      <c r="AB16" s="2">
        <v>70</v>
      </c>
      <c r="AC16" s="4">
        <f t="shared" si="1"/>
        <v>5.1161418167703025E-2</v>
      </c>
      <c r="AD16" s="2">
        <v>225</v>
      </c>
      <c r="AE16" s="4">
        <f>AD16/X16</f>
        <v>0.16444741553904543</v>
      </c>
    </row>
    <row r="17" spans="1:31">
      <c r="A17" s="2" t="s">
        <v>18</v>
      </c>
      <c r="B17" s="2">
        <v>121367</v>
      </c>
      <c r="D17" s="2">
        <v>94577</v>
      </c>
      <c r="F17" s="2">
        <v>181492</v>
      </c>
      <c r="H17" s="2">
        <v>36883</v>
      </c>
      <c r="I17" s="2">
        <v>73197</v>
      </c>
      <c r="J17" s="2">
        <v>860</v>
      </c>
      <c r="K17" s="2">
        <v>82420</v>
      </c>
      <c r="L17" s="2">
        <f>44+36+362+7+150+18</f>
        <v>617</v>
      </c>
      <c r="M17" s="2">
        <v>6362</v>
      </c>
      <c r="N17" s="2">
        <v>737</v>
      </c>
      <c r="O17" s="2">
        <v>5376</v>
      </c>
      <c r="P17" s="2">
        <v>2652</v>
      </c>
      <c r="Q17" s="2">
        <v>2855</v>
      </c>
      <c r="R17" s="2">
        <v>6795</v>
      </c>
      <c r="S17" s="2">
        <v>0</v>
      </c>
      <c r="T17" s="2">
        <v>11203</v>
      </c>
      <c r="U17" s="2">
        <v>276</v>
      </c>
      <c r="W17" s="2">
        <v>369</v>
      </c>
      <c r="X17" s="2">
        <v>1395.8973970000002</v>
      </c>
      <c r="Y17" s="2">
        <v>1742.2393400000001</v>
      </c>
      <c r="Z17" s="4">
        <f t="shared" si="0"/>
        <v>0.21179638843420903</v>
      </c>
      <c r="AB17" s="2">
        <v>100</v>
      </c>
      <c r="AC17" s="4">
        <f t="shared" si="1"/>
        <v>7.1638503098376355E-2</v>
      </c>
      <c r="AD17" s="2">
        <v>325</v>
      </c>
      <c r="AE17" s="4">
        <f>AD17/X17</f>
        <v>0.23282513506972316</v>
      </c>
    </row>
    <row r="18" spans="1:31">
      <c r="A18" s="2">
        <f>A6+1</f>
        <v>1792</v>
      </c>
      <c r="B18" s="2">
        <v>123322</v>
      </c>
      <c r="D18" s="2">
        <v>97378</v>
      </c>
      <c r="F18" s="2">
        <v>204989</v>
      </c>
      <c r="H18" s="2">
        <v>47767</v>
      </c>
      <c r="I18" s="2">
        <v>79565</v>
      </c>
      <c r="J18" s="2">
        <v>2765</v>
      </c>
      <c r="K18" s="2">
        <v>89897</v>
      </c>
      <c r="L18" s="2">
        <f>617+181+168+122</f>
        <v>1088</v>
      </c>
      <c r="M18" s="2">
        <v>6853</v>
      </c>
      <c r="N18" s="2">
        <v>974</v>
      </c>
      <c r="O18" s="2">
        <v>5585</v>
      </c>
      <c r="P18" s="2">
        <v>2885</v>
      </c>
      <c r="Q18" s="2">
        <v>3032</v>
      </c>
      <c r="R18" s="2">
        <v>7006</v>
      </c>
      <c r="S18" s="2">
        <v>8</v>
      </c>
      <c r="T18" s="2">
        <v>11665</v>
      </c>
      <c r="U18" s="2">
        <v>402</v>
      </c>
      <c r="W18" s="2">
        <v>391</v>
      </c>
      <c r="X18" s="2">
        <v>1462.259131</v>
      </c>
      <c r="Y18" s="2">
        <v>1833.326243</v>
      </c>
      <c r="Z18" s="4">
        <f t="shared" si="0"/>
        <v>0.21327355209849577</v>
      </c>
      <c r="AB18" s="2">
        <f>110</f>
        <v>110</v>
      </c>
      <c r="AC18" s="4">
        <f t="shared" si="1"/>
        <v>7.522606470220769E-2</v>
      </c>
      <c r="AD18" s="2">
        <v>385</v>
      </c>
      <c r="AE18" s="4">
        <f>AD18/X18</f>
        <v>0.26329122645772696</v>
      </c>
    </row>
    <row r="19" spans="1:31">
      <c r="A19" s="2" t="s">
        <v>15</v>
      </c>
      <c r="B19" s="2">
        <v>127905</v>
      </c>
      <c r="D19" s="2">
        <v>104193</v>
      </c>
      <c r="F19" s="2">
        <v>250374</v>
      </c>
      <c r="H19" s="2">
        <v>59185</v>
      </c>
      <c r="I19" s="2">
        <v>93653</v>
      </c>
      <c r="J19" s="2">
        <v>4033</v>
      </c>
      <c r="K19" s="2">
        <v>108494</v>
      </c>
      <c r="L19" s="2">
        <f>1088+412+109+431+327</f>
        <v>2367</v>
      </c>
      <c r="M19" s="2">
        <v>8074</v>
      </c>
      <c r="N19" s="2">
        <v>1641</v>
      </c>
      <c r="O19" s="2">
        <v>5984</v>
      </c>
      <c r="P19" s="2">
        <v>3206</v>
      </c>
      <c r="Q19" s="2">
        <v>3318</v>
      </c>
      <c r="R19" s="2">
        <v>7335</v>
      </c>
      <c r="S19" s="2">
        <v>24</v>
      </c>
      <c r="T19" s="2">
        <v>12410</v>
      </c>
      <c r="U19" s="2">
        <v>579</v>
      </c>
      <c r="W19" s="2">
        <v>418</v>
      </c>
      <c r="X19" s="2">
        <v>1531.0475990000002</v>
      </c>
      <c r="Y19" s="2">
        <v>1931.9108960000001</v>
      </c>
      <c r="Z19" s="4">
        <f t="shared" si="0"/>
        <v>0.21636608648228256</v>
      </c>
      <c r="AB19" s="2">
        <v>120</v>
      </c>
      <c r="AC19" s="4">
        <f t="shared" si="1"/>
        <v>7.8377706923271159E-2</v>
      </c>
      <c r="AD19" s="2">
        <v>385</v>
      </c>
      <c r="AE19" s="4">
        <f>(385+50/3)/X19</f>
        <v>0.26234760234039373</v>
      </c>
    </row>
    <row r="20" spans="1:31">
      <c r="A20" s="2" t="s">
        <v>13</v>
      </c>
      <c r="B20" s="2">
        <v>129981</v>
      </c>
      <c r="D20" s="2">
        <v>107801</v>
      </c>
      <c r="F20" s="2">
        <v>283840</v>
      </c>
      <c r="H20" s="2">
        <v>74036</v>
      </c>
      <c r="I20" s="2">
        <v>119384</v>
      </c>
      <c r="J20" s="2">
        <v>9190</v>
      </c>
      <c r="K20" s="2">
        <v>139288</v>
      </c>
      <c r="L20" s="2">
        <f>2367+283+521+956+1076+1064</f>
        <v>6267</v>
      </c>
      <c r="M20" s="2">
        <v>12322</v>
      </c>
      <c r="N20" s="2">
        <v>4429</v>
      </c>
      <c r="O20" s="2">
        <v>6940</v>
      </c>
      <c r="P20" s="2">
        <v>3891</v>
      </c>
      <c r="Q20" s="2">
        <v>3931</v>
      </c>
      <c r="R20" s="2">
        <v>8250</v>
      </c>
      <c r="S20" s="2">
        <v>414</v>
      </c>
      <c r="T20" s="2">
        <v>14119</v>
      </c>
      <c r="U20" s="2">
        <v>1274</v>
      </c>
      <c r="W20" s="2">
        <v>457</v>
      </c>
      <c r="X20" s="2">
        <v>1571.754592</v>
      </c>
      <c r="Y20" s="2">
        <v>2014.0517580000001</v>
      </c>
      <c r="Z20" s="4">
        <f t="shared" si="0"/>
        <v>0.22690578739337441</v>
      </c>
      <c r="AB20" s="2">
        <f>125</f>
        <v>125</v>
      </c>
      <c r="AC20" s="4">
        <f t="shared" si="1"/>
        <v>7.9528954861167026E-2</v>
      </c>
      <c r="AD20" s="2">
        <v>385</v>
      </c>
      <c r="AE20" s="4">
        <f>(385+100/3)/X20</f>
        <v>0.26615690226870564</v>
      </c>
    </row>
    <row r="21" spans="1:31">
      <c r="A21" s="2" t="s">
        <v>11</v>
      </c>
      <c r="B21" s="2">
        <v>134332</v>
      </c>
      <c r="D21" s="2">
        <v>114252</v>
      </c>
      <c r="F21" s="2">
        <v>308041</v>
      </c>
      <c r="H21" s="2">
        <v>85581</v>
      </c>
      <c r="I21" s="2">
        <v>137904</v>
      </c>
      <c r="J21" s="2">
        <v>14238</v>
      </c>
      <c r="K21" s="2">
        <v>167959</v>
      </c>
      <c r="L21" s="2">
        <f>6267+789+747+1601+2343</f>
        <v>11747</v>
      </c>
      <c r="M21" s="2">
        <v>21718</v>
      </c>
      <c r="N21" s="2">
        <v>10326</v>
      </c>
      <c r="O21" s="2">
        <v>8339</v>
      </c>
      <c r="P21" s="2">
        <v>4925</v>
      </c>
      <c r="Q21" s="2">
        <v>4883</v>
      </c>
      <c r="R21" s="2">
        <v>10258</v>
      </c>
      <c r="S21" s="2">
        <v>1549</v>
      </c>
      <c r="T21" s="2">
        <v>16538</v>
      </c>
      <c r="U21" s="2">
        <v>2250</v>
      </c>
      <c r="W21" s="2">
        <v>487</v>
      </c>
      <c r="X21" s="2">
        <v>1623.2049820000002</v>
      </c>
      <c r="Y21" s="2">
        <v>2097.3173510000001</v>
      </c>
      <c r="Z21" s="4">
        <f t="shared" si="0"/>
        <v>0.23220138801016382</v>
      </c>
      <c r="AB21" s="2">
        <v>130</v>
      </c>
      <c r="AC21" s="4">
        <f t="shared" si="1"/>
        <v>8.008846784084106E-2</v>
      </c>
      <c r="AD21" s="2">
        <v>435</v>
      </c>
      <c r="AE21" s="4">
        <f>AD21/X21</f>
        <v>0.26798833469819894</v>
      </c>
    </row>
    <row r="22" spans="1:31">
      <c r="A22" s="2" t="s">
        <v>7</v>
      </c>
      <c r="B22" s="2">
        <v>135584</v>
      </c>
      <c r="D22" s="2">
        <v>116687</v>
      </c>
      <c r="F22" s="2">
        <v>334018</v>
      </c>
      <c r="H22" s="2">
        <v>97444</v>
      </c>
      <c r="I22" s="2">
        <v>162389</v>
      </c>
      <c r="J22" s="2">
        <v>21879</v>
      </c>
      <c r="K22" s="2">
        <v>204443</v>
      </c>
      <c r="L22" s="2">
        <f>11747+2281+1001+2164+2480</f>
        <v>19673</v>
      </c>
      <c r="M22" s="2">
        <v>39900</v>
      </c>
      <c r="N22" s="2">
        <v>22561</v>
      </c>
      <c r="O22" s="2">
        <v>12493</v>
      </c>
      <c r="P22" s="2">
        <v>8205</v>
      </c>
      <c r="Q22" s="2">
        <v>7590</v>
      </c>
      <c r="R22" s="2">
        <v>14753</v>
      </c>
      <c r="S22" s="2">
        <v>4065</v>
      </c>
      <c r="T22" s="2">
        <v>24169</v>
      </c>
      <c r="U22" s="2">
        <v>5746</v>
      </c>
      <c r="W22" s="2">
        <v>523</v>
      </c>
      <c r="X22" s="2">
        <v>1694.7878330000001</v>
      </c>
      <c r="Y22" s="2">
        <v>2206.9192440000002</v>
      </c>
      <c r="Z22" s="4">
        <f t="shared" si="0"/>
        <v>0.23698193824803132</v>
      </c>
      <c r="AB22" s="2">
        <f>137.5</f>
        <v>137.5</v>
      </c>
      <c r="AC22" s="4">
        <f t="shared" si="1"/>
        <v>8.1131099316783917E-2</v>
      </c>
      <c r="AD22" s="2">
        <v>535</v>
      </c>
      <c r="AE22" s="4">
        <f>AD22/X22</f>
        <v>0.31567373188712289</v>
      </c>
    </row>
    <row r="23" spans="1:31">
      <c r="A23" s="2" t="s">
        <v>5</v>
      </c>
      <c r="B23" s="2">
        <v>136822</v>
      </c>
      <c r="D23" s="2">
        <v>118573</v>
      </c>
      <c r="F23" s="2">
        <v>386066</v>
      </c>
      <c r="H23" s="2">
        <v>107528</v>
      </c>
      <c r="I23" s="2">
        <v>188733</v>
      </c>
      <c r="J23" s="2">
        <v>30172</v>
      </c>
      <c r="K23" s="2">
        <v>248678</v>
      </c>
      <c r="L23" s="2">
        <f>19673+2779+1827+948+3122+1623</f>
        <v>29972</v>
      </c>
      <c r="M23" s="2">
        <v>70147</v>
      </c>
      <c r="N23" s="2">
        <v>42914</v>
      </c>
      <c r="O23" s="2">
        <v>18746</v>
      </c>
      <c r="P23" s="2">
        <v>13107</v>
      </c>
      <c r="Q23" s="2">
        <v>12629</v>
      </c>
      <c r="R23" s="2">
        <v>23528</v>
      </c>
      <c r="S23" s="2">
        <v>8754</v>
      </c>
      <c r="T23" s="2">
        <v>45284</v>
      </c>
      <c r="U23" s="2">
        <v>15261</v>
      </c>
      <c r="W23" s="2">
        <v>561</v>
      </c>
      <c r="X23" s="2">
        <v>1724.4592439999999</v>
      </c>
      <c r="Y23" s="2">
        <v>2276.0173279999999</v>
      </c>
      <c r="Z23" s="4">
        <f t="shared" si="0"/>
        <v>0.24648318494699967</v>
      </c>
      <c r="AB23" s="2">
        <v>145</v>
      </c>
      <c r="AC23" s="4">
        <f t="shared" si="1"/>
        <v>8.4084329916468595E-2</v>
      </c>
      <c r="AD23" s="2">
        <v>535</v>
      </c>
      <c r="AE23" s="4">
        <f>585/X23</f>
        <v>0.33923677931816637</v>
      </c>
    </row>
    <row r="24" spans="1:31">
      <c r="A24" s="2" t="s">
        <v>4</v>
      </c>
      <c r="B24" s="2">
        <v>137987</v>
      </c>
      <c r="D24" s="2">
        <v>120988</v>
      </c>
      <c r="F24" s="2">
        <v>417739</v>
      </c>
      <c r="H24" s="2">
        <v>115205</v>
      </c>
      <c r="I24" s="2">
        <v>205298</v>
      </c>
      <c r="J24" s="2">
        <v>36020</v>
      </c>
      <c r="K24" s="2">
        <v>281198</v>
      </c>
      <c r="L24" s="2">
        <f>29972+2202+1329+1585+1598</f>
        <v>36686</v>
      </c>
      <c r="M24" s="2">
        <v>88142</v>
      </c>
      <c r="N24" s="2">
        <v>54990</v>
      </c>
      <c r="O24" s="2">
        <v>23018</v>
      </c>
      <c r="P24" s="2">
        <v>16669</v>
      </c>
      <c r="Q24" s="2">
        <v>15897</v>
      </c>
      <c r="R24" s="2">
        <v>30293</v>
      </c>
      <c r="S24" s="2">
        <v>12474</v>
      </c>
      <c r="T24" s="2">
        <v>60158</v>
      </c>
      <c r="U24" s="2">
        <v>22307</v>
      </c>
      <c r="W24" s="2">
        <v>587</v>
      </c>
      <c r="X24" s="2">
        <v>1767.5510880000002</v>
      </c>
      <c r="Y24" s="2">
        <v>2345.8127720000002</v>
      </c>
      <c r="Z24" s="4">
        <f t="shared" si="0"/>
        <v>0.25023309916568226</v>
      </c>
      <c r="AB24" s="2">
        <v>155</v>
      </c>
      <c r="AC24" s="4">
        <f t="shared" si="1"/>
        <v>8.7691949077061127E-2</v>
      </c>
      <c r="AD24" s="2">
        <v>535</v>
      </c>
      <c r="AE24" s="4">
        <f>635/X24</f>
        <v>0.35925411396086332</v>
      </c>
    </row>
    <row r="25" spans="1:31">
      <c r="A25" s="2" t="s">
        <v>3</v>
      </c>
      <c r="B25" s="2">
        <v>138473</v>
      </c>
      <c r="D25" s="2">
        <v>121613</v>
      </c>
      <c r="F25" s="2">
        <v>446904</v>
      </c>
      <c r="H25" s="2">
        <v>119441</v>
      </c>
      <c r="O25" s="2">
        <v>26314</v>
      </c>
      <c r="P25" s="2">
        <v>19139</v>
      </c>
      <c r="Q25" s="2">
        <v>18478</v>
      </c>
      <c r="R25" s="2">
        <v>20562</v>
      </c>
      <c r="W25" s="2">
        <v>607</v>
      </c>
      <c r="X25" s="2">
        <v>1834.2919999999999</v>
      </c>
      <c r="Y25" s="2">
        <v>2441.2919999999999</v>
      </c>
      <c r="Z25" s="4">
        <f t="shared" si="0"/>
        <v>0.24863883550185722</v>
      </c>
      <c r="AD25" s="2">
        <v>685</v>
      </c>
      <c r="AE25" s="4">
        <f>AD25/X25</f>
        <v>0.37344108789658353</v>
      </c>
    </row>
    <row r="26" spans="1:31">
      <c r="A26" s="2" t="s">
        <v>2</v>
      </c>
      <c r="W26" s="2">
        <v>620</v>
      </c>
    </row>
    <row r="27" spans="1:31">
      <c r="A27" s="2" t="s">
        <v>1</v>
      </c>
      <c r="W27" s="2">
        <v>640</v>
      </c>
    </row>
    <row r="28" spans="1:31">
      <c r="A28" s="2" t="s">
        <v>0</v>
      </c>
      <c r="B28" s="2">
        <v>139812</v>
      </c>
      <c r="D28" s="2">
        <v>123891</v>
      </c>
      <c r="F28" s="2">
        <v>477753</v>
      </c>
      <c r="O28" s="2">
        <v>31126</v>
      </c>
      <c r="P28" s="2">
        <v>23602</v>
      </c>
      <c r="Q28" s="2">
        <v>22777</v>
      </c>
      <c r="W28" s="2">
        <v>653</v>
      </c>
    </row>
    <row r="29" spans="1:31">
      <c r="A29" s="2" t="s">
        <v>18</v>
      </c>
      <c r="B29" s="2">
        <v>140293</v>
      </c>
      <c r="D29" s="2">
        <v>125037</v>
      </c>
      <c r="F29" s="2">
        <v>484803</v>
      </c>
      <c r="O29" s="2">
        <v>32944</v>
      </c>
      <c r="P29" s="2">
        <v>25340</v>
      </c>
      <c r="Q29" s="2">
        <v>24689</v>
      </c>
      <c r="W29" s="2">
        <v>661</v>
      </c>
    </row>
    <row r="30" spans="1:31">
      <c r="W30" s="2">
        <v>682</v>
      </c>
    </row>
    <row r="31" spans="1:31">
      <c r="B31" s="2" t="s">
        <v>204</v>
      </c>
      <c r="D31" s="2" t="s">
        <v>203</v>
      </c>
      <c r="F31" s="2" t="s">
        <v>202</v>
      </c>
      <c r="I31" s="2" t="s">
        <v>201</v>
      </c>
      <c r="K31" s="2" t="s">
        <v>200</v>
      </c>
      <c r="M31" s="2" t="s">
        <v>199</v>
      </c>
      <c r="O31" s="2" t="s">
        <v>198</v>
      </c>
      <c r="P31" s="2" t="s">
        <v>197</v>
      </c>
      <c r="Q31" s="2" t="s">
        <v>196</v>
      </c>
      <c r="R31" s="2" t="s">
        <v>195</v>
      </c>
      <c r="T31" s="2" t="s">
        <v>194</v>
      </c>
      <c r="W31" s="2">
        <v>698</v>
      </c>
    </row>
    <row r="32" spans="1:31">
      <c r="B32" s="2" t="s">
        <v>192</v>
      </c>
      <c r="D32" s="2" t="s">
        <v>193</v>
      </c>
      <c r="F32" s="2" t="s">
        <v>192</v>
      </c>
      <c r="H32" s="2" t="s">
        <v>191</v>
      </c>
      <c r="I32" s="2" t="s">
        <v>193</v>
      </c>
      <c r="J32" s="2" t="s">
        <v>191</v>
      </c>
      <c r="K32" s="2" t="s">
        <v>193</v>
      </c>
      <c r="L32" s="2" t="s">
        <v>191</v>
      </c>
      <c r="M32" s="2" t="s">
        <v>192</v>
      </c>
      <c r="N32" s="2" t="s">
        <v>191</v>
      </c>
      <c r="O32" s="2" t="s">
        <v>192</v>
      </c>
      <c r="P32" s="2" t="s">
        <v>192</v>
      </c>
      <c r="Q32" s="2" t="s">
        <v>192</v>
      </c>
      <c r="R32" s="2" t="s">
        <v>192</v>
      </c>
      <c r="S32" s="2" t="s">
        <v>191</v>
      </c>
      <c r="T32" s="2" t="s">
        <v>192</v>
      </c>
      <c r="U32" s="2" t="s">
        <v>191</v>
      </c>
      <c r="W32" s="2">
        <v>715</v>
      </c>
    </row>
    <row r="33" spans="1:21">
      <c r="C33" s="2" t="s">
        <v>190</v>
      </c>
      <c r="G33" s="2" t="s">
        <v>190</v>
      </c>
    </row>
    <row r="34" spans="1:21">
      <c r="A34" s="2" t="s">
        <v>18</v>
      </c>
      <c r="B34" s="4">
        <f t="shared" ref="B34:B54" si="2">(G64+H64)/150000</f>
        <v>0</v>
      </c>
      <c r="D34" s="4">
        <f t="shared" ref="D34:D54" si="3">(B64+C64)/150000</f>
        <v>6.253333333333333E-3</v>
      </c>
      <c r="F34" s="4">
        <f t="shared" ref="F34:F54" si="4">(F5-H5)/440000</f>
        <v>0</v>
      </c>
      <c r="I34" s="4">
        <f t="shared" ref="I34:I53" si="5">(I5-J5)/400000</f>
        <v>3.5500000000000001E-4</v>
      </c>
      <c r="K34" s="4">
        <f t="shared" ref="K34:K53" si="6">(K5-L5)/650000</f>
        <v>1.4923076923076923E-4</v>
      </c>
      <c r="M34" s="4">
        <f t="shared" ref="M34:M53" si="7">(M5-N5)/500000</f>
        <v>0</v>
      </c>
    </row>
    <row r="35" spans="1:21">
      <c r="A35" s="2">
        <v>1791</v>
      </c>
      <c r="B35" s="4">
        <f t="shared" si="2"/>
        <v>4.1333333333333332E-4</v>
      </c>
      <c r="D35" s="4">
        <f t="shared" si="3"/>
        <v>2.3346666666666668E-2</v>
      </c>
      <c r="F35" s="4">
        <f t="shared" si="4"/>
        <v>4.5454545454545455E-6</v>
      </c>
      <c r="I35" s="4">
        <f t="shared" si="5"/>
        <v>1.91E-3</v>
      </c>
      <c r="K35" s="4">
        <f t="shared" si="6"/>
        <v>1.1061538461538461E-3</v>
      </c>
      <c r="M35" s="4">
        <f t="shared" si="7"/>
        <v>0</v>
      </c>
    </row>
    <row r="36" spans="1:21">
      <c r="A36" s="2" t="s">
        <v>15</v>
      </c>
      <c r="B36" s="4">
        <f t="shared" si="2"/>
        <v>1.8906666666666665E-2</v>
      </c>
      <c r="D36" s="4">
        <f t="shared" si="3"/>
        <v>3.8906666666666666E-2</v>
      </c>
      <c r="F36" s="4">
        <f t="shared" si="4"/>
        <v>4.0454545454545452E-4</v>
      </c>
      <c r="I36" s="4">
        <f t="shared" si="5"/>
        <v>1.511E-2</v>
      </c>
      <c r="K36" s="4">
        <f t="shared" si="6"/>
        <v>1.2146153846153846E-2</v>
      </c>
      <c r="M36" s="4">
        <f t="shared" si="7"/>
        <v>1.94E-4</v>
      </c>
      <c r="R36" s="4">
        <f t="shared" ref="R36:R53" si="8">(R7-S7)/400000</f>
        <v>2.5000000000000001E-5</v>
      </c>
      <c r="T36" s="4">
        <f t="shared" ref="T36:T53" si="9">(T7-U7)/2200000</f>
        <v>3.181818181818182E-5</v>
      </c>
    </row>
    <row r="37" spans="1:21">
      <c r="A37" s="2" t="s">
        <v>13</v>
      </c>
      <c r="B37" s="4">
        <f t="shared" si="2"/>
        <v>6.6066666666666662E-2</v>
      </c>
      <c r="D37" s="4">
        <f t="shared" si="3"/>
        <v>7.8833333333333339E-2</v>
      </c>
      <c r="F37" s="4">
        <f t="shared" si="4"/>
        <v>4.7818181818181822E-3</v>
      </c>
      <c r="I37" s="4">
        <f t="shared" si="5"/>
        <v>4.2152500000000002E-2</v>
      </c>
      <c r="K37" s="4">
        <f t="shared" si="6"/>
        <v>3.1792307692307689E-2</v>
      </c>
      <c r="M37" s="4">
        <f t="shared" si="7"/>
        <v>1.07E-3</v>
      </c>
      <c r="O37" s="4">
        <f t="shared" ref="O37:O54" si="10">O8/400000</f>
        <v>2.7500000000000001E-5</v>
      </c>
      <c r="R37" s="4">
        <f t="shared" si="8"/>
        <v>6.4000000000000005E-4</v>
      </c>
      <c r="T37" s="4">
        <f t="shared" si="9"/>
        <v>3.8045454545454548E-4</v>
      </c>
    </row>
    <row r="38" spans="1:21">
      <c r="A38" s="2" t="s">
        <v>11</v>
      </c>
      <c r="B38" s="4">
        <f t="shared" si="2"/>
        <v>0.15936</v>
      </c>
      <c r="D38" s="4">
        <f t="shared" si="3"/>
        <v>0.14552666666666667</v>
      </c>
      <c r="F38" s="4">
        <f t="shared" si="4"/>
        <v>1.6500000000000001E-2</v>
      </c>
      <c r="I38" s="4">
        <f t="shared" si="5"/>
        <v>7.7577499999999994E-2</v>
      </c>
      <c r="K38" s="4">
        <f t="shared" si="6"/>
        <v>5.4070769230769228E-2</v>
      </c>
      <c r="M38" s="4">
        <f t="shared" si="7"/>
        <v>2.8639999999999998E-3</v>
      </c>
      <c r="O38" s="4">
        <f t="shared" si="10"/>
        <v>1.0024999999999999E-3</v>
      </c>
      <c r="P38" s="4">
        <f t="shared" ref="P38:Q54" si="11">P9/400000</f>
        <v>3.0000000000000001E-5</v>
      </c>
      <c r="Q38" s="4">
        <f t="shared" si="11"/>
        <v>3.0000000000000001E-5</v>
      </c>
      <c r="R38" s="4">
        <f t="shared" si="8"/>
        <v>3.3774999999999999E-3</v>
      </c>
      <c r="T38" s="4">
        <f t="shared" si="9"/>
        <v>1.1486363636363636E-3</v>
      </c>
    </row>
    <row r="39" spans="1:21">
      <c r="A39" s="2" t="s">
        <v>7</v>
      </c>
      <c r="B39" s="4">
        <f t="shared" si="2"/>
        <v>0.23903333333333332</v>
      </c>
      <c r="D39" s="4">
        <f t="shared" si="3"/>
        <v>0.19517333333333334</v>
      </c>
      <c r="F39" s="4">
        <f t="shared" si="4"/>
        <v>3.3245454545454543E-2</v>
      </c>
      <c r="I39" s="4">
        <f t="shared" si="5"/>
        <v>9.5159999999999995E-2</v>
      </c>
      <c r="K39" s="4">
        <f t="shared" si="6"/>
        <v>6.5799999999999997E-2</v>
      </c>
      <c r="M39" s="4">
        <f t="shared" si="7"/>
        <v>4.4359999999999998E-3</v>
      </c>
      <c r="O39" s="4">
        <f t="shared" si="10"/>
        <v>3.6849999999999999E-3</v>
      </c>
      <c r="P39" s="4">
        <f t="shared" si="11"/>
        <v>4.6500000000000003E-4</v>
      </c>
      <c r="Q39" s="4">
        <f t="shared" si="11"/>
        <v>4.6999999999999999E-4</v>
      </c>
      <c r="R39" s="4">
        <f t="shared" si="8"/>
        <v>6.9249999999999997E-3</v>
      </c>
      <c r="T39" s="4">
        <f t="shared" si="9"/>
        <v>1.9281818181818183E-3</v>
      </c>
    </row>
    <row r="40" spans="1:21">
      <c r="A40" s="2" t="s">
        <v>5</v>
      </c>
      <c r="B40" s="4">
        <f t="shared" si="2"/>
        <v>0.32836666666666664</v>
      </c>
      <c r="D40" s="4">
        <f t="shared" si="3"/>
        <v>0.23624666666666666</v>
      </c>
      <c r="F40" s="4">
        <f t="shared" si="4"/>
        <v>5.3859090909090912E-2</v>
      </c>
      <c r="I40" s="4">
        <f t="shared" si="5"/>
        <v>0.110585</v>
      </c>
      <c r="K40" s="4">
        <f t="shared" si="6"/>
        <v>7.5999999999999998E-2</v>
      </c>
      <c r="M40" s="4">
        <f t="shared" si="7"/>
        <v>5.738E-3</v>
      </c>
      <c r="O40" s="4">
        <f t="shared" si="10"/>
        <v>6.1875000000000003E-3</v>
      </c>
      <c r="P40" s="4">
        <f t="shared" si="11"/>
        <v>1.4425E-3</v>
      </c>
      <c r="Q40" s="4">
        <f t="shared" si="11"/>
        <v>1.2775E-3</v>
      </c>
      <c r="R40" s="4">
        <f t="shared" si="8"/>
        <v>9.2049999999999996E-3</v>
      </c>
      <c r="T40" s="4">
        <f t="shared" si="9"/>
        <v>2.5027272727272728E-3</v>
      </c>
    </row>
    <row r="41" spans="1:21">
      <c r="A41" s="2" t="s">
        <v>4</v>
      </c>
      <c r="B41" s="4">
        <f t="shared" si="2"/>
        <v>0.40492666666666666</v>
      </c>
      <c r="C41" s="4">
        <f t="shared" ref="C41:C54" si="12">G71/150000</f>
        <v>0.40492666666666666</v>
      </c>
      <c r="D41" s="4">
        <f t="shared" si="3"/>
        <v>0.29376666666666668</v>
      </c>
      <c r="E41" s="4">
        <f t="shared" ref="E41:E54" si="13">B71/150000</f>
        <v>0.29376666666666668</v>
      </c>
      <c r="F41" s="4">
        <f t="shared" si="4"/>
        <v>8.7720454545454546E-2</v>
      </c>
      <c r="G41" s="4">
        <f t="shared" ref="G41:G54" si="14">(F12-J71-H12)/440000</f>
        <v>8.7720454545454546E-2</v>
      </c>
      <c r="H41" s="4">
        <f t="shared" ref="H41:H53" si="15">H12/340000</f>
        <v>3.5323529411764704E-3</v>
      </c>
      <c r="I41" s="4">
        <f t="shared" si="5"/>
        <v>0.124095</v>
      </c>
      <c r="K41" s="4">
        <f t="shared" si="6"/>
        <v>8.5212307692307698E-2</v>
      </c>
      <c r="M41" s="4">
        <f t="shared" si="7"/>
        <v>7.306E-3</v>
      </c>
      <c r="O41" s="4">
        <f t="shared" si="10"/>
        <v>8.0000000000000002E-3</v>
      </c>
      <c r="P41" s="4">
        <f t="shared" si="11"/>
        <v>2.5300000000000001E-3</v>
      </c>
      <c r="Q41" s="4">
        <f t="shared" si="11"/>
        <v>2.4650000000000002E-3</v>
      </c>
      <c r="R41" s="4">
        <f t="shared" si="8"/>
        <v>1.11675E-2</v>
      </c>
      <c r="T41" s="4">
        <f t="shared" si="9"/>
        <v>3.105909090909091E-3</v>
      </c>
    </row>
    <row r="42" spans="1:21">
      <c r="A42" s="2" t="s">
        <v>3</v>
      </c>
      <c r="B42" s="4">
        <f t="shared" si="2"/>
        <v>0.51714666666666664</v>
      </c>
      <c r="C42" s="4">
        <f t="shared" si="12"/>
        <v>0.46381333333333336</v>
      </c>
      <c r="D42" s="4">
        <f t="shared" si="3"/>
        <v>0.32404666666666665</v>
      </c>
      <c r="E42" s="4">
        <f t="shared" si="13"/>
        <v>0.32404666666666665</v>
      </c>
      <c r="F42" s="4">
        <f t="shared" si="4"/>
        <v>0.11755454545454545</v>
      </c>
      <c r="G42" s="4">
        <f t="shared" si="14"/>
        <v>0.11755454545454545</v>
      </c>
      <c r="H42" s="4">
        <f t="shared" si="15"/>
        <v>7.2676470588235297E-3</v>
      </c>
      <c r="I42" s="4">
        <f t="shared" si="5"/>
        <v>0.13096250000000001</v>
      </c>
      <c r="K42" s="4">
        <f t="shared" si="6"/>
        <v>8.9821538461538467E-2</v>
      </c>
      <c r="M42" s="4">
        <f t="shared" si="7"/>
        <v>7.9579999999999998E-3</v>
      </c>
      <c r="O42" s="4">
        <f t="shared" si="10"/>
        <v>8.8249999999999995E-3</v>
      </c>
      <c r="P42" s="4">
        <f t="shared" si="11"/>
        <v>3.2599999999999999E-3</v>
      </c>
      <c r="Q42" s="4">
        <f t="shared" si="11"/>
        <v>3.31E-3</v>
      </c>
      <c r="R42" s="4">
        <f t="shared" si="8"/>
        <v>1.21625E-2</v>
      </c>
      <c r="T42" s="4">
        <f t="shared" si="9"/>
        <v>3.4422727272727274E-3</v>
      </c>
    </row>
    <row r="43" spans="1:21">
      <c r="A43" s="2" t="s">
        <v>2</v>
      </c>
      <c r="B43" s="4">
        <f t="shared" si="2"/>
        <v>0.6321</v>
      </c>
      <c r="C43" s="4">
        <f t="shared" si="12"/>
        <v>0.52543333333333331</v>
      </c>
      <c r="D43" s="4">
        <f t="shared" si="3"/>
        <v>0.36216666666666669</v>
      </c>
      <c r="E43" s="4">
        <f t="shared" si="13"/>
        <v>0.36216666666666669</v>
      </c>
      <c r="F43" s="4">
        <f t="shared" si="4"/>
        <v>0.15636590909090908</v>
      </c>
      <c r="G43" s="4">
        <f t="shared" si="14"/>
        <v>0.15636590909090908</v>
      </c>
      <c r="H43" s="4">
        <f t="shared" si="15"/>
        <v>2.3847058823529412E-2</v>
      </c>
      <c r="I43" s="4">
        <f t="shared" si="5"/>
        <v>0.14147750000000001</v>
      </c>
      <c r="J43" s="4">
        <f t="shared" ref="J43:J53" si="16">J14/250000</f>
        <v>0</v>
      </c>
      <c r="K43" s="4">
        <f t="shared" si="6"/>
        <v>9.7056923076923082E-2</v>
      </c>
      <c r="L43" s="4">
        <f t="shared" ref="L43:L53" si="17">L14/370000</f>
        <v>0</v>
      </c>
      <c r="M43" s="4">
        <f t="shared" si="7"/>
        <v>8.8780000000000005E-3</v>
      </c>
      <c r="N43" s="4">
        <f t="shared" ref="N43:N53" si="18">N14/1300000</f>
        <v>3.3846153846153848E-5</v>
      </c>
      <c r="O43" s="4">
        <f t="shared" si="10"/>
        <v>1.0045E-2</v>
      </c>
      <c r="P43" s="4">
        <f t="shared" si="11"/>
        <v>4.2575E-3</v>
      </c>
      <c r="Q43" s="4">
        <f t="shared" si="11"/>
        <v>4.4600000000000004E-3</v>
      </c>
      <c r="R43" s="4">
        <f t="shared" si="8"/>
        <v>1.3377500000000001E-2</v>
      </c>
      <c r="T43" s="4">
        <f t="shared" si="9"/>
        <v>3.8868181818181818E-3</v>
      </c>
      <c r="U43" s="4">
        <f t="shared" ref="U43:U53" si="19">U14/2600000</f>
        <v>7.6923076923076925E-7</v>
      </c>
    </row>
    <row r="44" spans="1:21">
      <c r="A44" s="2" t="s">
        <v>1</v>
      </c>
      <c r="B44" s="4">
        <f t="shared" si="2"/>
        <v>0.67225999999999997</v>
      </c>
      <c r="C44" s="4">
        <f t="shared" si="12"/>
        <v>0.56559333333333328</v>
      </c>
      <c r="D44" s="4">
        <f t="shared" si="3"/>
        <v>0.39825333333333335</v>
      </c>
      <c r="E44" s="4">
        <f t="shared" si="13"/>
        <v>0.39825333333333335</v>
      </c>
      <c r="F44" s="4">
        <f t="shared" si="4"/>
        <v>0.18809999999999999</v>
      </c>
      <c r="G44" s="4">
        <f t="shared" si="14"/>
        <v>0.18809999999999999</v>
      </c>
      <c r="H44" s="4">
        <f t="shared" si="15"/>
        <v>4.1905882352941175E-2</v>
      </c>
      <c r="I44" s="4">
        <f t="shared" si="5"/>
        <v>0.15748500000000001</v>
      </c>
      <c r="J44" s="4">
        <f t="shared" si="16"/>
        <v>0</v>
      </c>
      <c r="K44" s="4">
        <f t="shared" si="6"/>
        <v>0.10626923076923077</v>
      </c>
      <c r="L44" s="4">
        <f t="shared" si="17"/>
        <v>0</v>
      </c>
      <c r="M44" s="4">
        <f t="shared" si="7"/>
        <v>9.8840000000000004E-3</v>
      </c>
      <c r="N44" s="4">
        <f t="shared" si="18"/>
        <v>2.5000000000000001E-4</v>
      </c>
      <c r="O44" s="4">
        <f t="shared" si="10"/>
        <v>1.1854999999999999E-2</v>
      </c>
      <c r="P44" s="4">
        <f t="shared" si="11"/>
        <v>5.3449999999999999E-3</v>
      </c>
      <c r="Q44" s="4">
        <f t="shared" si="11"/>
        <v>5.6449999999999998E-3</v>
      </c>
      <c r="R44" s="4">
        <f t="shared" si="8"/>
        <v>1.53425E-2</v>
      </c>
      <c r="T44" s="4">
        <f t="shared" si="9"/>
        <v>4.4786363636363635E-3</v>
      </c>
      <c r="U44" s="4">
        <f t="shared" si="19"/>
        <v>1.0384615384615384E-5</v>
      </c>
    </row>
    <row r="45" spans="1:21">
      <c r="A45" s="2" t="s">
        <v>0</v>
      </c>
      <c r="B45" s="4">
        <f t="shared" si="2"/>
        <v>0.76537333333333335</v>
      </c>
      <c r="C45" s="4">
        <f t="shared" si="12"/>
        <v>0.59537333333333331</v>
      </c>
      <c r="D45" s="4">
        <f t="shared" si="3"/>
        <v>0.55475333333333332</v>
      </c>
      <c r="E45" s="4">
        <f t="shared" si="13"/>
        <v>0.42808666666666667</v>
      </c>
      <c r="F45" s="4">
        <f t="shared" si="4"/>
        <v>0.21325454545454545</v>
      </c>
      <c r="G45" s="4">
        <f t="shared" si="14"/>
        <v>0.21325454545454545</v>
      </c>
      <c r="H45" s="4">
        <f t="shared" si="15"/>
        <v>6.6199999999999995E-2</v>
      </c>
      <c r="I45" s="4">
        <f t="shared" si="5"/>
        <v>0.16358249999999999</v>
      </c>
      <c r="J45" s="4">
        <f t="shared" si="16"/>
        <v>4.1599999999999997E-4</v>
      </c>
      <c r="K45" s="4">
        <f t="shared" si="6"/>
        <v>0.11240153846153846</v>
      </c>
      <c r="L45" s="4">
        <f t="shared" si="17"/>
        <v>4.8648648648648648E-5</v>
      </c>
      <c r="M45" s="4">
        <f t="shared" si="7"/>
        <v>1.03E-2</v>
      </c>
      <c r="N45" s="4">
        <f t="shared" si="18"/>
        <v>3.2461538461538462E-4</v>
      </c>
      <c r="O45" s="4">
        <f t="shared" si="10"/>
        <v>1.24625E-2</v>
      </c>
      <c r="P45" s="4">
        <f t="shared" si="11"/>
        <v>5.8500000000000002E-3</v>
      </c>
      <c r="Q45" s="4">
        <f t="shared" si="11"/>
        <v>6.2399999999999999E-3</v>
      </c>
      <c r="R45" s="4">
        <f t="shared" si="8"/>
        <v>1.5932499999999999E-2</v>
      </c>
      <c r="T45" s="4">
        <f t="shared" si="9"/>
        <v>4.6340909090909089E-3</v>
      </c>
      <c r="U45" s="4">
        <f t="shared" si="19"/>
        <v>3.2307692307692308E-5</v>
      </c>
    </row>
    <row r="46" spans="1:21">
      <c r="A46" s="2" t="s">
        <v>18</v>
      </c>
      <c r="B46" s="4">
        <f t="shared" si="2"/>
        <v>0.80091333333333337</v>
      </c>
      <c r="C46" s="4">
        <f t="shared" si="12"/>
        <v>0.61758000000000002</v>
      </c>
      <c r="D46" s="4">
        <f t="shared" si="3"/>
        <v>0.63051333333333337</v>
      </c>
      <c r="E46" s="4">
        <f t="shared" si="13"/>
        <v>0.48384666666666665</v>
      </c>
      <c r="F46" s="4">
        <f t="shared" si="4"/>
        <v>0.32865681818181819</v>
      </c>
      <c r="G46" s="4">
        <f t="shared" si="14"/>
        <v>0.25138409090909092</v>
      </c>
      <c r="H46" s="4">
        <f t="shared" si="15"/>
        <v>0.10847941176470588</v>
      </c>
      <c r="I46" s="4">
        <f t="shared" si="5"/>
        <v>0.18084249999999999</v>
      </c>
      <c r="J46" s="4">
        <f t="shared" si="16"/>
        <v>3.4399999999999999E-3</v>
      </c>
      <c r="K46" s="4">
        <f t="shared" si="6"/>
        <v>0.12585076923076924</v>
      </c>
      <c r="L46" s="4">
        <f t="shared" si="17"/>
        <v>1.6675675675675676E-3</v>
      </c>
      <c r="M46" s="4">
        <f t="shared" si="7"/>
        <v>1.125E-2</v>
      </c>
      <c r="N46" s="4">
        <f t="shared" si="18"/>
        <v>5.6692307692307695E-4</v>
      </c>
      <c r="O46" s="4">
        <f t="shared" si="10"/>
        <v>1.3440000000000001E-2</v>
      </c>
      <c r="P46" s="4">
        <f t="shared" si="11"/>
        <v>6.6299999999999996E-3</v>
      </c>
      <c r="Q46" s="4">
        <f t="shared" si="11"/>
        <v>7.1374999999999997E-3</v>
      </c>
      <c r="R46" s="4">
        <f t="shared" si="8"/>
        <v>1.6987499999999999E-2</v>
      </c>
      <c r="T46" s="4">
        <f t="shared" si="9"/>
        <v>4.9668181818181816E-3</v>
      </c>
      <c r="U46" s="4">
        <f t="shared" si="19"/>
        <v>1.0615384615384615E-4</v>
      </c>
    </row>
    <row r="47" spans="1:21">
      <c r="A47" s="2">
        <f>A35+1</f>
        <v>1792</v>
      </c>
      <c r="B47" s="4">
        <f t="shared" si="2"/>
        <v>0.82394666666666672</v>
      </c>
      <c r="C47" s="4">
        <f t="shared" si="12"/>
        <v>0.63061333333333336</v>
      </c>
      <c r="D47" s="4">
        <f t="shared" si="3"/>
        <v>0.64918666666666669</v>
      </c>
      <c r="E47" s="4">
        <f t="shared" si="13"/>
        <v>0.48252</v>
      </c>
      <c r="F47" s="4">
        <f t="shared" si="4"/>
        <v>0.35732272727272729</v>
      </c>
      <c r="G47" s="4">
        <f t="shared" si="14"/>
        <v>0.28005000000000002</v>
      </c>
      <c r="H47" s="4">
        <f t="shared" si="15"/>
        <v>0.14049117647058823</v>
      </c>
      <c r="I47" s="4">
        <f t="shared" si="5"/>
        <v>0.192</v>
      </c>
      <c r="J47" s="4">
        <f t="shared" si="16"/>
        <v>1.106E-2</v>
      </c>
      <c r="K47" s="4">
        <f t="shared" si="6"/>
        <v>0.13662923076923078</v>
      </c>
      <c r="L47" s="4">
        <f t="shared" si="17"/>
        <v>2.9405405405405404E-3</v>
      </c>
      <c r="M47" s="4">
        <f t="shared" si="7"/>
        <v>1.1757999999999999E-2</v>
      </c>
      <c r="N47" s="4">
        <f t="shared" si="18"/>
        <v>7.4923076923076918E-4</v>
      </c>
      <c r="O47" s="4">
        <f t="shared" si="10"/>
        <v>1.3962499999999999E-2</v>
      </c>
      <c r="P47" s="4">
        <f t="shared" si="11"/>
        <v>7.2125000000000002E-3</v>
      </c>
      <c r="Q47" s="4">
        <f t="shared" si="11"/>
        <v>7.5799999999999999E-3</v>
      </c>
      <c r="R47" s="4">
        <f t="shared" si="8"/>
        <v>1.7495E-2</v>
      </c>
      <c r="S47" s="4">
        <f t="shared" ref="S47:S53" si="20">S18/833334</f>
        <v>9.5999923200061432E-6</v>
      </c>
      <c r="T47" s="4">
        <f t="shared" si="9"/>
        <v>5.1195454545454547E-3</v>
      </c>
      <c r="U47" s="4">
        <f t="shared" si="19"/>
        <v>1.5461538461538461E-4</v>
      </c>
    </row>
    <row r="48" spans="1:21">
      <c r="A48" s="2" t="s">
        <v>15</v>
      </c>
      <c r="B48" s="4">
        <f t="shared" si="2"/>
        <v>0.85489999999999999</v>
      </c>
      <c r="C48" s="4">
        <f t="shared" si="12"/>
        <v>0.64356666666666662</v>
      </c>
      <c r="D48" s="4">
        <f t="shared" si="3"/>
        <v>0.69462000000000002</v>
      </c>
      <c r="E48" s="4">
        <f t="shared" si="13"/>
        <v>0.49728666666666665</v>
      </c>
      <c r="F48" s="4">
        <f t="shared" si="4"/>
        <v>0.43452045454545457</v>
      </c>
      <c r="G48" s="4">
        <f t="shared" si="14"/>
        <v>0.31179318181818183</v>
      </c>
      <c r="H48" s="4">
        <f t="shared" si="15"/>
        <v>0.17407352941176471</v>
      </c>
      <c r="I48" s="4">
        <f t="shared" si="5"/>
        <v>0.22405</v>
      </c>
      <c r="J48" s="4">
        <f t="shared" si="16"/>
        <v>1.6132000000000001E-2</v>
      </c>
      <c r="K48" s="4">
        <f t="shared" si="6"/>
        <v>0.16327230769230769</v>
      </c>
      <c r="L48" s="4">
        <f t="shared" si="17"/>
        <v>6.3972972972972976E-3</v>
      </c>
      <c r="M48" s="4">
        <f t="shared" si="7"/>
        <v>1.2866000000000001E-2</v>
      </c>
      <c r="N48" s="4">
        <f t="shared" si="18"/>
        <v>1.2623076923076923E-3</v>
      </c>
      <c r="O48" s="4">
        <f t="shared" si="10"/>
        <v>1.4959999999999999E-2</v>
      </c>
      <c r="P48" s="4">
        <f t="shared" si="11"/>
        <v>8.0149999999999996E-3</v>
      </c>
      <c r="Q48" s="4">
        <f t="shared" si="11"/>
        <v>8.2950000000000003E-3</v>
      </c>
      <c r="R48" s="4">
        <f t="shared" si="8"/>
        <v>1.8277499999999999E-2</v>
      </c>
      <c r="S48" s="4">
        <f t="shared" si="20"/>
        <v>2.8799976960018431E-5</v>
      </c>
      <c r="T48" s="4">
        <f t="shared" si="9"/>
        <v>5.3777272727272727E-3</v>
      </c>
      <c r="U48" s="4">
        <f t="shared" si="19"/>
        <v>2.226923076923077E-4</v>
      </c>
    </row>
    <row r="49" spans="1:23">
      <c r="A49" s="2" t="s">
        <v>13</v>
      </c>
      <c r="B49" s="4">
        <f t="shared" si="2"/>
        <v>0.86524000000000001</v>
      </c>
      <c r="C49" s="4">
        <f t="shared" si="12"/>
        <v>0.65390666666666664</v>
      </c>
      <c r="D49" s="4">
        <f t="shared" si="3"/>
        <v>0.71867333333333339</v>
      </c>
      <c r="E49" s="4">
        <f t="shared" si="13"/>
        <v>0.52134000000000003</v>
      </c>
      <c r="F49" s="4">
        <f t="shared" si="4"/>
        <v>0.47682727272727271</v>
      </c>
      <c r="G49" s="4">
        <f t="shared" si="14"/>
        <v>0.35410000000000003</v>
      </c>
      <c r="H49" s="4">
        <f t="shared" si="15"/>
        <v>0.21775294117647059</v>
      </c>
      <c r="I49" s="4">
        <f t="shared" si="5"/>
        <v>0.27548499999999998</v>
      </c>
      <c r="J49" s="4">
        <f t="shared" si="16"/>
        <v>3.6760000000000001E-2</v>
      </c>
      <c r="K49" s="4">
        <f t="shared" si="6"/>
        <v>0.20464769230769231</v>
      </c>
      <c r="L49" s="4">
        <f t="shared" si="17"/>
        <v>1.6937837837837838E-2</v>
      </c>
      <c r="M49" s="4">
        <f t="shared" si="7"/>
        <v>1.5786000000000001E-2</v>
      </c>
      <c r="N49" s="4">
        <f t="shared" si="18"/>
        <v>3.4069230769230769E-3</v>
      </c>
      <c r="O49" s="4">
        <f t="shared" si="10"/>
        <v>1.7350000000000001E-2</v>
      </c>
      <c r="P49" s="4">
        <f t="shared" si="11"/>
        <v>9.7275E-3</v>
      </c>
      <c r="Q49" s="4">
        <f t="shared" si="11"/>
        <v>9.8274999999999994E-3</v>
      </c>
      <c r="R49" s="4">
        <f t="shared" si="8"/>
        <v>1.959E-2</v>
      </c>
      <c r="S49" s="4">
        <f t="shared" si="20"/>
        <v>4.9679960256031796E-4</v>
      </c>
      <c r="T49" s="4">
        <f t="shared" si="9"/>
        <v>5.8386363636363636E-3</v>
      </c>
      <c r="U49" s="4">
        <f t="shared" si="19"/>
        <v>4.8999999999999998E-4</v>
      </c>
    </row>
    <row r="50" spans="1:23">
      <c r="A50" s="2" t="s">
        <v>11</v>
      </c>
      <c r="B50" s="4">
        <f t="shared" si="2"/>
        <v>0.89424666666666663</v>
      </c>
      <c r="C50" s="4">
        <f t="shared" si="12"/>
        <v>0.66291333333333335</v>
      </c>
      <c r="D50" s="4">
        <f t="shared" si="3"/>
        <v>0.76168000000000002</v>
      </c>
      <c r="E50" s="4">
        <f t="shared" si="13"/>
        <v>0.53768000000000005</v>
      </c>
      <c r="F50" s="4">
        <f t="shared" si="4"/>
        <v>0.50559090909090909</v>
      </c>
      <c r="G50" s="4">
        <f t="shared" si="14"/>
        <v>0.38286363636363635</v>
      </c>
      <c r="H50" s="4">
        <f t="shared" si="15"/>
        <v>0.25170882352941176</v>
      </c>
      <c r="I50" s="4">
        <f t="shared" si="5"/>
        <v>0.30916500000000002</v>
      </c>
      <c r="J50" s="4">
        <f t="shared" si="16"/>
        <v>5.6952000000000003E-2</v>
      </c>
      <c r="K50" s="4">
        <f t="shared" si="6"/>
        <v>0.24032615384615386</v>
      </c>
      <c r="L50" s="4">
        <f t="shared" si="17"/>
        <v>3.1748648648648646E-2</v>
      </c>
      <c r="M50" s="4">
        <f t="shared" si="7"/>
        <v>2.2783999999999999E-2</v>
      </c>
      <c r="N50" s="4">
        <f t="shared" si="18"/>
        <v>7.9430769230769225E-3</v>
      </c>
      <c r="O50" s="4">
        <f t="shared" si="10"/>
        <v>2.0847500000000001E-2</v>
      </c>
      <c r="P50" s="4">
        <f t="shared" si="11"/>
        <v>1.2312500000000001E-2</v>
      </c>
      <c r="Q50" s="4">
        <f t="shared" si="11"/>
        <v>1.22075E-2</v>
      </c>
      <c r="R50" s="4">
        <f t="shared" si="8"/>
        <v>2.17725E-2</v>
      </c>
      <c r="S50" s="4">
        <f t="shared" si="20"/>
        <v>1.8587985129611896E-3</v>
      </c>
      <c r="T50" s="4">
        <f t="shared" si="9"/>
        <v>6.4945454545454542E-3</v>
      </c>
      <c r="U50" s="4">
        <f t="shared" si="19"/>
        <v>8.6538461538461541E-4</v>
      </c>
    </row>
    <row r="51" spans="1:23">
      <c r="A51" s="2" t="s">
        <v>7</v>
      </c>
      <c r="B51" s="4">
        <f t="shared" si="2"/>
        <v>0.90259333333333336</v>
      </c>
      <c r="C51" s="4">
        <f t="shared" si="12"/>
        <v>0.67125999999999997</v>
      </c>
      <c r="D51" s="4">
        <f t="shared" si="3"/>
        <v>0.77791333333333335</v>
      </c>
      <c r="E51" s="4">
        <f t="shared" si="13"/>
        <v>0.55391333333333337</v>
      </c>
      <c r="F51" s="4">
        <f t="shared" si="4"/>
        <v>0.53766818181818177</v>
      </c>
      <c r="G51" s="4">
        <f t="shared" si="14"/>
        <v>0.41494090909090908</v>
      </c>
      <c r="H51" s="4">
        <f t="shared" si="15"/>
        <v>0.28660000000000002</v>
      </c>
      <c r="I51" s="4">
        <f t="shared" si="5"/>
        <v>0.351275</v>
      </c>
      <c r="J51" s="4">
        <f t="shared" si="16"/>
        <v>8.7515999999999997E-2</v>
      </c>
      <c r="K51" s="4">
        <f t="shared" si="6"/>
        <v>0.28426153846153845</v>
      </c>
      <c r="L51" s="4">
        <f t="shared" si="17"/>
        <v>5.317027027027027E-2</v>
      </c>
      <c r="M51" s="4">
        <f t="shared" si="7"/>
        <v>3.4678E-2</v>
      </c>
      <c r="N51" s="4">
        <f t="shared" si="18"/>
        <v>1.7354615384615385E-2</v>
      </c>
      <c r="O51" s="4">
        <f t="shared" si="10"/>
        <v>3.12325E-2</v>
      </c>
      <c r="P51" s="4">
        <f t="shared" si="11"/>
        <v>2.0512499999999999E-2</v>
      </c>
      <c r="Q51" s="4">
        <f t="shared" si="11"/>
        <v>1.8974999999999999E-2</v>
      </c>
      <c r="R51" s="4">
        <f t="shared" si="8"/>
        <v>2.6720000000000001E-2</v>
      </c>
      <c r="S51" s="4">
        <f t="shared" si="20"/>
        <v>4.8779960976031217E-3</v>
      </c>
      <c r="T51" s="4">
        <f t="shared" si="9"/>
        <v>8.3740909090909092E-3</v>
      </c>
      <c r="U51" s="4">
        <f t="shared" si="19"/>
        <v>2.2100000000000002E-3</v>
      </c>
    </row>
    <row r="52" spans="1:23">
      <c r="A52" s="2" t="s">
        <v>5</v>
      </c>
      <c r="B52" s="4">
        <f t="shared" si="2"/>
        <v>0.91084666666666669</v>
      </c>
      <c r="C52" s="4">
        <f t="shared" si="12"/>
        <v>0.6795133333333333</v>
      </c>
      <c r="D52" s="4">
        <f t="shared" si="3"/>
        <v>0.79048666666666667</v>
      </c>
      <c r="E52" s="4">
        <f t="shared" si="13"/>
        <v>0.56648666666666669</v>
      </c>
      <c r="F52" s="4">
        <f t="shared" si="4"/>
        <v>0.63304090909090904</v>
      </c>
      <c r="G52" s="4">
        <f t="shared" si="14"/>
        <v>0.44213181818181818</v>
      </c>
      <c r="H52" s="4">
        <f t="shared" si="15"/>
        <v>0.31625882352941176</v>
      </c>
      <c r="I52" s="4">
        <f t="shared" si="5"/>
        <v>0.39640249999999999</v>
      </c>
      <c r="J52" s="4">
        <f t="shared" si="16"/>
        <v>0.120688</v>
      </c>
      <c r="K52" s="4">
        <f t="shared" si="6"/>
        <v>0.33647076923076924</v>
      </c>
      <c r="L52" s="4">
        <f t="shared" si="17"/>
        <v>8.1005405405405406E-2</v>
      </c>
      <c r="M52" s="4">
        <f t="shared" si="7"/>
        <v>5.4466000000000001E-2</v>
      </c>
      <c r="N52" s="4">
        <f t="shared" si="18"/>
        <v>3.3010769230769232E-2</v>
      </c>
      <c r="O52" s="4">
        <f t="shared" si="10"/>
        <v>4.6864999999999997E-2</v>
      </c>
      <c r="P52" s="4">
        <f t="shared" si="11"/>
        <v>3.2767499999999998E-2</v>
      </c>
      <c r="Q52" s="4">
        <f t="shared" si="11"/>
        <v>3.1572500000000003E-2</v>
      </c>
      <c r="R52" s="4">
        <f t="shared" si="8"/>
        <v>3.6935000000000003E-2</v>
      </c>
      <c r="S52" s="4">
        <f t="shared" si="20"/>
        <v>1.0504791596166723E-2</v>
      </c>
      <c r="T52" s="4">
        <f t="shared" si="9"/>
        <v>1.3646818181818182E-2</v>
      </c>
      <c r="U52" s="4">
        <f t="shared" si="19"/>
        <v>5.8696153846153846E-3</v>
      </c>
    </row>
    <row r="53" spans="1:23">
      <c r="A53" s="2" t="s">
        <v>4</v>
      </c>
      <c r="B53" s="4">
        <f t="shared" si="2"/>
        <v>0.91861333333333328</v>
      </c>
      <c r="C53" s="4">
        <f t="shared" si="12"/>
        <v>0.68344666666666665</v>
      </c>
      <c r="D53" s="4">
        <f t="shared" si="3"/>
        <v>0.80657333333333336</v>
      </c>
      <c r="E53" s="4">
        <f t="shared" si="13"/>
        <v>0.57352000000000003</v>
      </c>
      <c r="F53" s="4">
        <f t="shared" si="4"/>
        <v>0.68757727272727276</v>
      </c>
      <c r="G53" s="4">
        <f t="shared" si="14"/>
        <v>0.46261363636363634</v>
      </c>
      <c r="H53" s="4">
        <f t="shared" si="15"/>
        <v>0.33883823529411766</v>
      </c>
      <c r="I53" s="4">
        <f t="shared" si="5"/>
        <v>0.42319499999999999</v>
      </c>
      <c r="J53" s="4">
        <f t="shared" si="16"/>
        <v>0.14408000000000001</v>
      </c>
      <c r="K53" s="4">
        <f t="shared" si="6"/>
        <v>0.37617230769230769</v>
      </c>
      <c r="L53" s="4">
        <f t="shared" si="17"/>
        <v>9.9151351351351349E-2</v>
      </c>
      <c r="M53" s="4">
        <f t="shared" si="7"/>
        <v>6.6304000000000002E-2</v>
      </c>
      <c r="N53" s="4">
        <f t="shared" si="18"/>
        <v>4.2299999999999997E-2</v>
      </c>
      <c r="O53" s="4">
        <f t="shared" si="10"/>
        <v>5.7544999999999999E-2</v>
      </c>
      <c r="P53" s="4">
        <f t="shared" si="11"/>
        <v>4.1672500000000001E-2</v>
      </c>
      <c r="Q53" s="4">
        <f t="shared" si="11"/>
        <v>3.97425E-2</v>
      </c>
      <c r="R53" s="4">
        <f t="shared" si="8"/>
        <v>4.4547499999999997E-2</v>
      </c>
      <c r="S53" s="4">
        <f t="shared" si="20"/>
        <v>1.496878802496958E-2</v>
      </c>
      <c r="T53" s="4">
        <f t="shared" si="9"/>
        <v>1.7205000000000002E-2</v>
      </c>
      <c r="U53" s="4">
        <f t="shared" si="19"/>
        <v>8.5796153846153852E-3</v>
      </c>
    </row>
    <row r="54" spans="1:23">
      <c r="A54" s="2" t="s">
        <v>3</v>
      </c>
      <c r="B54" s="4">
        <f t="shared" si="2"/>
        <v>0.9218533333333333</v>
      </c>
      <c r="C54" s="4">
        <f t="shared" si="12"/>
        <v>0.68668666666666667</v>
      </c>
      <c r="D54" s="4">
        <f t="shared" si="3"/>
        <v>0.81074000000000002</v>
      </c>
      <c r="E54" s="4">
        <f t="shared" si="13"/>
        <v>0.57768666666666668</v>
      </c>
      <c r="F54" s="4">
        <f t="shared" si="4"/>
        <v>0.74423409090909087</v>
      </c>
      <c r="G54" s="4">
        <f t="shared" si="14"/>
        <v>0.47381590909090909</v>
      </c>
      <c r="O54" s="4">
        <f t="shared" si="10"/>
        <v>6.5784999999999996E-2</v>
      </c>
      <c r="P54" s="4">
        <f t="shared" si="11"/>
        <v>4.7847500000000001E-2</v>
      </c>
      <c r="Q54" s="4">
        <f t="shared" si="11"/>
        <v>4.6195E-2</v>
      </c>
    </row>
    <row r="55" spans="1:23">
      <c r="A55" s="2" t="s">
        <v>2</v>
      </c>
    </row>
    <row r="56" spans="1:23">
      <c r="A56" s="2" t="s">
        <v>1</v>
      </c>
    </row>
    <row r="57" spans="1:23">
      <c r="A57" s="2" t="s">
        <v>0</v>
      </c>
      <c r="B57" s="4">
        <f>(G87+H87)/150000</f>
        <v>0.93208000000000002</v>
      </c>
      <c r="C57" s="4">
        <f>G87/150000</f>
        <v>0.69610666666666665</v>
      </c>
      <c r="D57" s="4">
        <f>(B87+C87)/150000</f>
        <v>0.93218666666666672</v>
      </c>
      <c r="E57" s="4">
        <f>B87/150000</f>
        <v>0.69610666666666665</v>
      </c>
      <c r="O57" s="4">
        <f t="shared" ref="O57:Q58" si="21">O28/400000</f>
        <v>7.7814999999999995E-2</v>
      </c>
      <c r="P57" s="4">
        <f t="shared" si="21"/>
        <v>5.9005000000000002E-2</v>
      </c>
      <c r="Q57" s="4">
        <f t="shared" si="21"/>
        <v>5.69425E-2</v>
      </c>
    </row>
    <row r="58" spans="1:23">
      <c r="A58" s="2" t="s">
        <v>18</v>
      </c>
      <c r="B58" s="4">
        <f>(G88+H88)/150000</f>
        <v>0.93528666666666671</v>
      </c>
      <c r="C58" s="4">
        <f>G88/150000</f>
        <v>0.69931333333333334</v>
      </c>
      <c r="D58" s="4">
        <f>(B88+C88)/150000</f>
        <v>0.9353933333333333</v>
      </c>
      <c r="E58" s="4">
        <f>B88/150000</f>
        <v>0.69931333333333334</v>
      </c>
      <c r="O58" s="4">
        <f t="shared" si="21"/>
        <v>8.2360000000000003E-2</v>
      </c>
      <c r="P58" s="4">
        <f t="shared" si="21"/>
        <v>6.3350000000000004E-2</v>
      </c>
      <c r="Q58" s="4">
        <f t="shared" si="21"/>
        <v>6.17225E-2</v>
      </c>
    </row>
    <row r="61" spans="1:23">
      <c r="B61" s="2" t="s">
        <v>189</v>
      </c>
      <c r="F61" s="2" t="s">
        <v>188</v>
      </c>
      <c r="R61" s="2" t="s">
        <v>187</v>
      </c>
    </row>
    <row r="62" spans="1:23">
      <c r="B62" s="2" t="s">
        <v>186</v>
      </c>
      <c r="C62" s="2" t="s">
        <v>186</v>
      </c>
      <c r="D62" s="2" t="s">
        <v>185</v>
      </c>
      <c r="E62" s="2" t="s">
        <v>184</v>
      </c>
      <c r="G62" s="2" t="s">
        <v>183</v>
      </c>
      <c r="H62" s="2" t="s">
        <v>183</v>
      </c>
      <c r="I62" s="2" t="s">
        <v>176</v>
      </c>
      <c r="J62" s="2" t="s">
        <v>176</v>
      </c>
      <c r="K62" s="2" t="s">
        <v>182</v>
      </c>
      <c r="L62" s="2" t="s">
        <v>181</v>
      </c>
      <c r="M62" s="2" t="s">
        <v>180</v>
      </c>
      <c r="N62" s="2" t="s">
        <v>179</v>
      </c>
      <c r="O62" s="2" t="s">
        <v>178</v>
      </c>
      <c r="P62" s="2" t="s">
        <v>177</v>
      </c>
      <c r="R62" s="2" t="s">
        <v>176</v>
      </c>
      <c r="S62" s="2" t="s">
        <v>175</v>
      </c>
      <c r="T62" s="2" t="s">
        <v>174</v>
      </c>
      <c r="U62" s="2" t="s">
        <v>173</v>
      </c>
      <c r="V62" s="2" t="s">
        <v>172</v>
      </c>
      <c r="W62" s="2" t="s">
        <v>171</v>
      </c>
    </row>
    <row r="63" spans="1:23">
      <c r="C63" s="2" t="s">
        <v>170</v>
      </c>
      <c r="H63" s="2" t="s">
        <v>170</v>
      </c>
      <c r="J63" s="2" t="s">
        <v>170</v>
      </c>
    </row>
    <row r="64" spans="1:23">
      <c r="A64" s="2" t="s">
        <v>18</v>
      </c>
      <c r="B64" s="2">
        <v>938</v>
      </c>
      <c r="D64" s="2">
        <v>142</v>
      </c>
      <c r="E64" s="2">
        <v>97</v>
      </c>
      <c r="G64" s="2">
        <v>0</v>
      </c>
      <c r="I64" s="2">
        <v>0</v>
      </c>
      <c r="K64" s="2">
        <f>M5-N5</f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</row>
    <row r="65" spans="1:23">
      <c r="A65" s="2">
        <v>1791</v>
      </c>
      <c r="B65" s="2">
        <v>3502</v>
      </c>
      <c r="D65" s="2">
        <v>764</v>
      </c>
      <c r="E65" s="2">
        <v>719</v>
      </c>
      <c r="G65" s="2">
        <v>62</v>
      </c>
      <c r="I65" s="2">
        <v>2</v>
      </c>
      <c r="K65" s="2">
        <f>M6-N6</f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</row>
    <row r="66" spans="1:23">
      <c r="A66" s="2" t="s">
        <v>15</v>
      </c>
      <c r="B66" s="2">
        <v>5836</v>
      </c>
      <c r="D66" s="2">
        <v>6044</v>
      </c>
      <c r="E66" s="2">
        <v>7895</v>
      </c>
      <c r="G66" s="2">
        <v>2836</v>
      </c>
      <c r="I66" s="2">
        <v>178</v>
      </c>
      <c r="K66" s="2">
        <f>M7-N7</f>
        <v>97</v>
      </c>
      <c r="L66" s="2">
        <v>0</v>
      </c>
      <c r="M66" s="2">
        <v>0</v>
      </c>
      <c r="N66" s="2">
        <v>0</v>
      </c>
      <c r="O66" s="2">
        <v>10</v>
      </c>
      <c r="P66" s="2">
        <v>70</v>
      </c>
    </row>
    <row r="67" spans="1:23">
      <c r="A67" s="2" t="s">
        <v>13</v>
      </c>
      <c r="B67" s="2">
        <v>11825</v>
      </c>
      <c r="D67" s="2">
        <v>16861</v>
      </c>
      <c r="E67" s="2">
        <v>20665</v>
      </c>
      <c r="G67" s="2">
        <v>9910</v>
      </c>
      <c r="I67" s="2">
        <v>2104</v>
      </c>
      <c r="K67" s="2">
        <f>M8-N8</f>
        <v>535</v>
      </c>
      <c r="L67" s="2">
        <v>11</v>
      </c>
      <c r="M67" s="2">
        <v>0</v>
      </c>
      <c r="N67" s="2">
        <v>0</v>
      </c>
      <c r="O67" s="2">
        <v>256</v>
      </c>
      <c r="P67" s="2">
        <v>837</v>
      </c>
    </row>
    <row r="68" spans="1:23">
      <c r="A68" s="2" t="s">
        <v>11</v>
      </c>
      <c r="B68" s="2">
        <v>21829</v>
      </c>
      <c r="D68" s="2">
        <v>31031</v>
      </c>
      <c r="E68" s="2">
        <v>35146</v>
      </c>
      <c r="G68" s="2">
        <v>23904</v>
      </c>
      <c r="I68" s="2">
        <v>7260</v>
      </c>
      <c r="K68" s="2">
        <v>1492</v>
      </c>
      <c r="L68" s="2">
        <v>401</v>
      </c>
      <c r="M68" s="2">
        <v>12</v>
      </c>
      <c r="N68" s="2">
        <v>12</v>
      </c>
      <c r="O68" s="2">
        <v>1351</v>
      </c>
      <c r="P68" s="2">
        <v>2527</v>
      </c>
    </row>
    <row r="69" spans="1:23">
      <c r="A69" s="2" t="s">
        <v>7</v>
      </c>
      <c r="B69" s="2">
        <v>29276</v>
      </c>
      <c r="D69" s="2">
        <v>39064</v>
      </c>
      <c r="E69" s="2">
        <v>43770</v>
      </c>
      <c r="G69" s="2">
        <v>35855</v>
      </c>
      <c r="I69" s="2">
        <v>14628</v>
      </c>
      <c r="K69" s="2">
        <v>2278</v>
      </c>
      <c r="L69" s="2">
        <v>1474</v>
      </c>
      <c r="M69" s="2">
        <v>186</v>
      </c>
      <c r="N69" s="2">
        <v>188</v>
      </c>
      <c r="O69" s="2">
        <v>2770</v>
      </c>
      <c r="P69" s="2">
        <v>4242</v>
      </c>
    </row>
    <row r="70" spans="1:23">
      <c r="A70" s="2" t="s">
        <v>5</v>
      </c>
      <c r="B70" s="2">
        <v>35437</v>
      </c>
      <c r="D70" s="2">
        <v>44234</v>
      </c>
      <c r="E70" s="2">
        <v>50400</v>
      </c>
      <c r="G70" s="2">
        <v>49255</v>
      </c>
      <c r="I70" s="2">
        <v>23698</v>
      </c>
      <c r="K70" s="2">
        <v>2929</v>
      </c>
      <c r="L70" s="2">
        <v>2475</v>
      </c>
      <c r="M70" s="2">
        <v>577</v>
      </c>
      <c r="N70" s="2">
        <v>511</v>
      </c>
      <c r="O70" s="2">
        <v>3682</v>
      </c>
      <c r="P70" s="2">
        <v>5506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</row>
    <row r="71" spans="1:23">
      <c r="A71" s="2" t="s">
        <v>4</v>
      </c>
      <c r="B71" s="2">
        <v>44065</v>
      </c>
      <c r="D71" s="2">
        <v>51300</v>
      </c>
      <c r="E71" s="2">
        <v>57648</v>
      </c>
      <c r="G71" s="2">
        <v>60739</v>
      </c>
      <c r="H71" s="2">
        <v>0</v>
      </c>
      <c r="I71" s="2">
        <v>41180</v>
      </c>
      <c r="K71" s="2">
        <v>3876</v>
      </c>
      <c r="L71" s="2">
        <v>3679</v>
      </c>
      <c r="M71" s="2">
        <v>1234</v>
      </c>
      <c r="N71" s="2">
        <v>1241</v>
      </c>
      <c r="O71" s="2">
        <v>5005</v>
      </c>
      <c r="P71" s="2">
        <v>7646</v>
      </c>
      <c r="R71" s="2">
        <v>1201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</row>
    <row r="72" spans="1:23">
      <c r="A72" s="2" t="s">
        <v>3</v>
      </c>
      <c r="B72" s="2">
        <v>48607</v>
      </c>
      <c r="C72" s="2">
        <v>0</v>
      </c>
      <c r="D72" s="2">
        <v>54047</v>
      </c>
      <c r="E72" s="2">
        <v>60644</v>
      </c>
      <c r="G72" s="2">
        <v>69572</v>
      </c>
      <c r="H72" s="2">
        <v>8000</v>
      </c>
      <c r="I72" s="2">
        <v>54307</v>
      </c>
      <c r="J72" s="2">
        <v>0</v>
      </c>
      <c r="K72" s="2">
        <v>4202</v>
      </c>
      <c r="L72" s="2">
        <v>4009</v>
      </c>
      <c r="M72" s="2">
        <v>1526</v>
      </c>
      <c r="N72" s="2">
        <v>1579</v>
      </c>
      <c r="O72" s="2">
        <v>5403</v>
      </c>
      <c r="P72" s="2">
        <v>8386</v>
      </c>
      <c r="R72" s="2">
        <v>2471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</row>
    <row r="73" spans="1:23">
      <c r="A73" s="2" t="s">
        <v>2</v>
      </c>
      <c r="B73" s="2">
        <v>54325</v>
      </c>
      <c r="C73" s="2">
        <v>0</v>
      </c>
      <c r="D73" s="2">
        <v>58253</v>
      </c>
      <c r="E73" s="2">
        <v>65347</v>
      </c>
      <c r="G73" s="2">
        <v>78815</v>
      </c>
      <c r="H73" s="2">
        <v>16000</v>
      </c>
      <c r="I73" s="2">
        <v>71384</v>
      </c>
      <c r="J73" s="2">
        <v>0</v>
      </c>
      <c r="K73" s="2">
        <v>4662</v>
      </c>
      <c r="L73" s="2">
        <v>4497</v>
      </c>
      <c r="M73" s="2">
        <v>1925</v>
      </c>
      <c r="N73" s="2">
        <v>2039</v>
      </c>
      <c r="O73" s="2">
        <v>5889</v>
      </c>
      <c r="P73" s="2">
        <v>9364</v>
      </c>
      <c r="R73" s="2">
        <v>8108</v>
      </c>
      <c r="S73" s="2">
        <v>0</v>
      </c>
      <c r="T73" s="2">
        <v>0</v>
      </c>
      <c r="U73" s="2">
        <v>44</v>
      </c>
      <c r="V73" s="2">
        <v>0</v>
      </c>
      <c r="W73" s="2">
        <v>2</v>
      </c>
    </row>
    <row r="74" spans="1:23">
      <c r="A74" s="2" t="s">
        <v>1</v>
      </c>
      <c r="B74" s="2">
        <v>59738</v>
      </c>
      <c r="C74" s="2">
        <v>0</v>
      </c>
      <c r="D74" s="2">
        <v>61194</v>
      </c>
      <c r="E74" s="2">
        <v>69075</v>
      </c>
      <c r="G74" s="2">
        <v>84839</v>
      </c>
      <c r="H74" s="2">
        <v>16000</v>
      </c>
      <c r="I74" s="2">
        <v>82764</v>
      </c>
      <c r="J74" s="2">
        <v>0</v>
      </c>
      <c r="K74" s="2">
        <v>4942</v>
      </c>
      <c r="L74" s="2">
        <v>4742</v>
      </c>
      <c r="M74" s="2">
        <v>2138</v>
      </c>
      <c r="N74" s="2">
        <v>2258</v>
      </c>
      <c r="O74" s="2">
        <v>6137</v>
      </c>
      <c r="P74" s="2">
        <v>9853</v>
      </c>
      <c r="R74" s="2">
        <v>14248</v>
      </c>
      <c r="S74" s="2">
        <v>0</v>
      </c>
      <c r="T74" s="2">
        <v>0</v>
      </c>
      <c r="U74" s="2">
        <v>325</v>
      </c>
      <c r="V74" s="2">
        <v>0</v>
      </c>
      <c r="W74" s="2">
        <v>27</v>
      </c>
    </row>
    <row r="75" spans="1:23">
      <c r="A75" s="2" t="s">
        <v>0</v>
      </c>
      <c r="B75" s="2">
        <f t="shared" ref="B75:B82" si="22">+D16-C75</f>
        <v>64213</v>
      </c>
      <c r="C75" s="2">
        <v>19000</v>
      </c>
      <c r="D75" s="2">
        <v>65433</v>
      </c>
      <c r="E75" s="2">
        <v>73079</v>
      </c>
      <c r="G75" s="2">
        <v>89306</v>
      </c>
      <c r="H75" s="2">
        <v>25500</v>
      </c>
      <c r="I75" s="2">
        <v>93832</v>
      </c>
      <c r="J75" s="2">
        <v>0</v>
      </c>
      <c r="K75" s="2">
        <v>5150</v>
      </c>
      <c r="L75" s="2">
        <v>4985</v>
      </c>
      <c r="M75" s="2">
        <v>2340</v>
      </c>
      <c r="N75" s="2">
        <v>2496</v>
      </c>
      <c r="O75" s="2">
        <v>6373</v>
      </c>
      <c r="P75" s="2">
        <v>10195</v>
      </c>
      <c r="R75" s="2">
        <v>22508</v>
      </c>
      <c r="S75" s="2">
        <v>104</v>
      </c>
      <c r="T75" s="2">
        <v>18</v>
      </c>
      <c r="U75" s="2">
        <v>422</v>
      </c>
      <c r="V75" s="2">
        <v>0</v>
      </c>
      <c r="W75" s="2">
        <v>84</v>
      </c>
    </row>
    <row r="76" spans="1:23">
      <c r="A76" s="2" t="s">
        <v>18</v>
      </c>
      <c r="B76" s="2">
        <f t="shared" si="22"/>
        <v>72577</v>
      </c>
      <c r="C76" s="2">
        <v>22000</v>
      </c>
      <c r="D76" s="2">
        <v>72337</v>
      </c>
      <c r="E76" s="2">
        <v>82420</v>
      </c>
      <c r="G76" s="2">
        <v>92637</v>
      </c>
      <c r="H76" s="2">
        <v>27500</v>
      </c>
      <c r="I76" s="2">
        <v>110609</v>
      </c>
      <c r="J76" s="2">
        <v>34000</v>
      </c>
      <c r="K76" s="2">
        <v>5625</v>
      </c>
      <c r="L76" s="2">
        <v>5376</v>
      </c>
      <c r="M76" s="2">
        <v>2652</v>
      </c>
      <c r="N76" s="2">
        <v>2855</v>
      </c>
      <c r="O76" s="2">
        <v>6795</v>
      </c>
      <c r="P76" s="2">
        <v>10927</v>
      </c>
      <c r="R76" s="2">
        <v>36883</v>
      </c>
      <c r="S76" s="2">
        <v>860</v>
      </c>
      <c r="T76" s="2">
        <f>44+36+362+7+150+18</f>
        <v>617</v>
      </c>
      <c r="U76" s="2">
        <v>737</v>
      </c>
      <c r="V76" s="2">
        <v>0</v>
      </c>
      <c r="W76" s="2">
        <v>276</v>
      </c>
    </row>
    <row r="77" spans="1:23">
      <c r="A77" s="2">
        <f>A65+1</f>
        <v>1792</v>
      </c>
      <c r="B77" s="2">
        <f t="shared" si="22"/>
        <v>72378</v>
      </c>
      <c r="C77" s="2">
        <v>25000</v>
      </c>
      <c r="D77" s="2">
        <v>76800</v>
      </c>
      <c r="E77" s="2">
        <v>89897</v>
      </c>
      <c r="G77" s="2">
        <v>94592</v>
      </c>
      <c r="H77" s="2">
        <v>29000</v>
      </c>
      <c r="I77" s="2">
        <v>123122</v>
      </c>
      <c r="J77" s="2">
        <v>34000</v>
      </c>
      <c r="K77" s="2">
        <v>5879</v>
      </c>
      <c r="L77" s="2">
        <v>5585</v>
      </c>
      <c r="M77" s="2">
        <v>2885</v>
      </c>
      <c r="N77" s="2">
        <v>3032</v>
      </c>
      <c r="O77" s="2">
        <v>6998</v>
      </c>
      <c r="P77" s="2">
        <v>11263</v>
      </c>
      <c r="R77" s="2">
        <v>47767</v>
      </c>
      <c r="S77" s="2">
        <v>2765</v>
      </c>
      <c r="T77" s="2">
        <f>617+181+168+122</f>
        <v>1088</v>
      </c>
      <c r="U77" s="2">
        <v>974</v>
      </c>
      <c r="V77" s="2">
        <v>8</v>
      </c>
      <c r="W77" s="2">
        <v>402</v>
      </c>
    </row>
    <row r="78" spans="1:23">
      <c r="A78" s="2" t="s">
        <v>15</v>
      </c>
      <c r="B78" s="2">
        <f t="shared" si="22"/>
        <v>74593</v>
      </c>
      <c r="C78" s="2">
        <v>29600</v>
      </c>
      <c r="D78" s="2">
        <v>89620</v>
      </c>
      <c r="E78" s="2">
        <v>108494</v>
      </c>
      <c r="G78" s="2">
        <v>96535</v>
      </c>
      <c r="H78" s="2">
        <v>31700</v>
      </c>
      <c r="I78" s="2">
        <v>137088</v>
      </c>
      <c r="J78" s="2">
        <v>54000</v>
      </c>
      <c r="K78" s="2">
        <v>6433</v>
      </c>
      <c r="L78" s="2">
        <v>5984</v>
      </c>
      <c r="M78" s="2">
        <v>3206</v>
      </c>
      <c r="N78" s="2">
        <v>3318</v>
      </c>
      <c r="O78" s="2">
        <v>7311</v>
      </c>
      <c r="P78" s="2">
        <v>11831</v>
      </c>
      <c r="R78" s="2">
        <v>59185</v>
      </c>
      <c r="S78" s="2">
        <v>4033</v>
      </c>
      <c r="T78" s="2">
        <f>1088+412+109+431+327</f>
        <v>2367</v>
      </c>
      <c r="U78" s="2">
        <v>1641</v>
      </c>
      <c r="V78" s="2">
        <v>24</v>
      </c>
      <c r="W78" s="2">
        <v>579</v>
      </c>
    </row>
    <row r="79" spans="1:23">
      <c r="A79" s="2" t="s">
        <v>13</v>
      </c>
      <c r="B79" s="2">
        <f t="shared" si="22"/>
        <v>78201</v>
      </c>
      <c r="C79" s="2">
        <v>29600</v>
      </c>
      <c r="D79" s="2">
        <v>110194</v>
      </c>
      <c r="E79" s="2">
        <v>139288</v>
      </c>
      <c r="G79" s="2">
        <v>98086</v>
      </c>
      <c r="H79" s="2">
        <v>31700</v>
      </c>
      <c r="I79" s="2">
        <v>155703</v>
      </c>
      <c r="J79" s="2">
        <v>54000</v>
      </c>
      <c r="K79" s="2">
        <v>7893</v>
      </c>
      <c r="L79" s="2">
        <v>6940</v>
      </c>
      <c r="M79" s="2">
        <v>3891</v>
      </c>
      <c r="N79" s="2">
        <v>3931</v>
      </c>
      <c r="O79" s="2">
        <v>7836</v>
      </c>
      <c r="P79" s="2">
        <v>12845</v>
      </c>
      <c r="R79" s="2">
        <v>74036</v>
      </c>
      <c r="S79" s="2">
        <v>9190</v>
      </c>
      <c r="T79" s="2">
        <f>2367+283+521+956+1076+1064</f>
        <v>6267</v>
      </c>
      <c r="U79" s="2">
        <v>4429</v>
      </c>
      <c r="V79" s="2">
        <v>414</v>
      </c>
      <c r="W79" s="2">
        <v>1274</v>
      </c>
    </row>
    <row r="80" spans="1:23">
      <c r="A80" s="2" t="s">
        <v>11</v>
      </c>
      <c r="B80" s="2">
        <f t="shared" si="22"/>
        <v>80652</v>
      </c>
      <c r="C80" s="2">
        <v>33600</v>
      </c>
      <c r="D80" s="2">
        <v>123666</v>
      </c>
      <c r="E80" s="2">
        <v>167959</v>
      </c>
      <c r="G80" s="2">
        <v>99437</v>
      </c>
      <c r="H80" s="2">
        <v>34700</v>
      </c>
      <c r="I80" s="2">
        <v>168359</v>
      </c>
      <c r="J80" s="2">
        <v>54000</v>
      </c>
      <c r="K80" s="2">
        <v>11392</v>
      </c>
      <c r="L80" s="2">
        <v>8339</v>
      </c>
      <c r="M80" s="2">
        <v>4925</v>
      </c>
      <c r="N80" s="2">
        <v>4883</v>
      </c>
      <c r="O80" s="2">
        <v>8709</v>
      </c>
      <c r="P80" s="2">
        <v>14288</v>
      </c>
      <c r="R80" s="2">
        <v>85581</v>
      </c>
      <c r="S80" s="2">
        <v>14238</v>
      </c>
      <c r="T80" s="2">
        <f>6267+789+747+1601+2343</f>
        <v>11747</v>
      </c>
      <c r="U80" s="2">
        <v>10326</v>
      </c>
      <c r="V80" s="2">
        <v>1549</v>
      </c>
      <c r="W80" s="2">
        <v>2250</v>
      </c>
    </row>
    <row r="81" spans="1:23">
      <c r="A81" s="2" t="s">
        <v>7</v>
      </c>
      <c r="B81" s="2">
        <f t="shared" si="22"/>
        <v>83087</v>
      </c>
      <c r="C81" s="2">
        <v>33600</v>
      </c>
      <c r="D81" s="2">
        <v>140510</v>
      </c>
      <c r="E81" s="2">
        <v>204443</v>
      </c>
      <c r="G81" s="2">
        <v>100689</v>
      </c>
      <c r="H81" s="2">
        <v>34700</v>
      </c>
      <c r="I81" s="2">
        <v>182473</v>
      </c>
      <c r="J81" s="2">
        <v>54000</v>
      </c>
      <c r="K81" s="2">
        <v>17339</v>
      </c>
      <c r="L81" s="2">
        <v>12493</v>
      </c>
      <c r="M81" s="2">
        <v>8205</v>
      </c>
      <c r="N81" s="2">
        <v>7590</v>
      </c>
      <c r="O81" s="2">
        <v>10688</v>
      </c>
      <c r="P81" s="2">
        <v>18423</v>
      </c>
      <c r="R81" s="2">
        <v>97444</v>
      </c>
      <c r="S81" s="2">
        <v>21879</v>
      </c>
      <c r="T81" s="2">
        <f>11747+2281+1001+2164+2480</f>
        <v>19673</v>
      </c>
      <c r="U81" s="2">
        <v>22561</v>
      </c>
      <c r="V81" s="2">
        <v>4065</v>
      </c>
      <c r="W81" s="2">
        <v>5746</v>
      </c>
    </row>
    <row r="82" spans="1:23">
      <c r="A82" s="2" t="s">
        <v>5</v>
      </c>
      <c r="B82" s="2">
        <f t="shared" si="22"/>
        <v>84973</v>
      </c>
      <c r="C82" s="2">
        <v>33600</v>
      </c>
      <c r="D82" s="2">
        <v>158561</v>
      </c>
      <c r="E82" s="2">
        <v>248678</v>
      </c>
      <c r="G82" s="2">
        <v>101927</v>
      </c>
      <c r="H82" s="2">
        <v>34700</v>
      </c>
      <c r="I82" s="2">
        <v>194437</v>
      </c>
      <c r="J82" s="2">
        <v>84000</v>
      </c>
      <c r="K82" s="2">
        <v>27233</v>
      </c>
      <c r="L82" s="2">
        <v>18746</v>
      </c>
      <c r="M82" s="2">
        <v>13107</v>
      </c>
      <c r="N82" s="2">
        <v>12629</v>
      </c>
      <c r="O82" s="2">
        <v>14774</v>
      </c>
      <c r="P82" s="2">
        <v>30023</v>
      </c>
      <c r="R82" s="2">
        <v>107528</v>
      </c>
      <c r="S82" s="2">
        <v>30172</v>
      </c>
      <c r="T82" s="2">
        <f>19673+2779+1827+948+3122+1623</f>
        <v>29972</v>
      </c>
      <c r="U82" s="2">
        <v>42914</v>
      </c>
      <c r="V82" s="2">
        <v>8754</v>
      </c>
      <c r="W82" s="2">
        <v>15261</v>
      </c>
    </row>
    <row r="83" spans="1:23">
      <c r="A83" s="2" t="s">
        <v>4</v>
      </c>
      <c r="B83" s="2">
        <v>86028</v>
      </c>
      <c r="C83" s="2">
        <v>34958</v>
      </c>
      <c r="D83" s="2">
        <v>169278</v>
      </c>
      <c r="E83" s="2">
        <v>281198</v>
      </c>
      <c r="G83" s="2">
        <v>102517</v>
      </c>
      <c r="H83" s="2">
        <v>35275</v>
      </c>
      <c r="I83" s="2">
        <v>203449</v>
      </c>
      <c r="J83" s="2">
        <v>98984</v>
      </c>
      <c r="K83" s="2">
        <v>33152</v>
      </c>
      <c r="L83" s="2">
        <v>23018</v>
      </c>
      <c r="M83" s="2">
        <v>16669</v>
      </c>
      <c r="N83" s="2">
        <v>15897</v>
      </c>
      <c r="O83" s="2">
        <v>17819</v>
      </c>
      <c r="P83" s="2">
        <v>37851</v>
      </c>
      <c r="R83" s="2">
        <v>115205</v>
      </c>
      <c r="S83" s="2">
        <v>36020</v>
      </c>
      <c r="T83" s="2">
        <f>29972+2202+1329+1585+1598</f>
        <v>36686</v>
      </c>
      <c r="U83" s="2">
        <v>54990</v>
      </c>
      <c r="V83" s="2">
        <v>12474</v>
      </c>
      <c r="W83" s="2">
        <v>22307</v>
      </c>
    </row>
    <row r="84" spans="1:23">
      <c r="A84" s="2" t="s">
        <v>3</v>
      </c>
      <c r="B84" s="2">
        <v>86653</v>
      </c>
      <c r="C84" s="2">
        <v>34958</v>
      </c>
      <c r="D84" s="2">
        <v>177549</v>
      </c>
      <c r="E84" s="2">
        <v>298806</v>
      </c>
      <c r="G84" s="2">
        <v>103003</v>
      </c>
      <c r="H84" s="2">
        <v>35275</v>
      </c>
      <c r="I84" s="2">
        <v>208378</v>
      </c>
      <c r="J84" s="2">
        <v>118984</v>
      </c>
      <c r="K84" s="2">
        <v>38142</v>
      </c>
      <c r="L84" s="2">
        <f>L83+3296</f>
        <v>26314</v>
      </c>
      <c r="M84" s="2">
        <v>19139</v>
      </c>
      <c r="N84" s="2">
        <v>18478</v>
      </c>
      <c r="O84" s="2">
        <v>20562</v>
      </c>
      <c r="P84" s="2">
        <v>47109</v>
      </c>
      <c r="R84" s="2">
        <v>119441</v>
      </c>
      <c r="S84" s="2">
        <v>40415</v>
      </c>
      <c r="T84" s="2">
        <v>42622</v>
      </c>
      <c r="U84" s="2">
        <v>65075</v>
      </c>
      <c r="V84" s="2">
        <v>15469</v>
      </c>
      <c r="W84" s="2">
        <v>30786</v>
      </c>
    </row>
    <row r="85" spans="1:23">
      <c r="A85" s="2" t="s">
        <v>2</v>
      </c>
    </row>
    <row r="86" spans="1:23">
      <c r="A86" s="2" t="s">
        <v>1</v>
      </c>
    </row>
    <row r="87" spans="1:23">
      <c r="A87" s="2" t="s">
        <v>0</v>
      </c>
      <c r="B87" s="2">
        <v>104416</v>
      </c>
      <c r="C87" s="2">
        <v>35412</v>
      </c>
      <c r="D87" s="2">
        <v>88479</v>
      </c>
      <c r="G87" s="2">
        <v>104416</v>
      </c>
      <c r="H87" s="2">
        <v>35396</v>
      </c>
      <c r="L87" s="2">
        <v>31126</v>
      </c>
      <c r="M87" s="2">
        <v>23602</v>
      </c>
      <c r="N87" s="2">
        <v>22777</v>
      </c>
    </row>
    <row r="88" spans="1:23">
      <c r="A88" s="2" t="s">
        <v>18</v>
      </c>
      <c r="B88" s="2">
        <v>104897</v>
      </c>
      <c r="C88" s="2">
        <v>35412</v>
      </c>
      <c r="D88" s="2">
        <v>89625</v>
      </c>
      <c r="G88" s="2">
        <v>104897</v>
      </c>
      <c r="H88" s="2">
        <v>35396</v>
      </c>
      <c r="J88" s="2">
        <v>127592</v>
      </c>
      <c r="L88" s="2">
        <v>32944</v>
      </c>
      <c r="M88" s="2">
        <v>25340</v>
      </c>
      <c r="N88" s="2">
        <v>24689</v>
      </c>
    </row>
    <row r="93" spans="1:23">
      <c r="A93" s="2" t="s">
        <v>4</v>
      </c>
    </row>
    <row r="94" spans="1:23">
      <c r="A94" s="2" t="s">
        <v>3</v>
      </c>
    </row>
    <row r="95" spans="1:23">
      <c r="A95" s="2" t="s">
        <v>2</v>
      </c>
    </row>
    <row r="96" spans="1:23">
      <c r="A96" s="2" t="s">
        <v>1</v>
      </c>
    </row>
    <row r="97" spans="1:1">
      <c r="A97" s="2" t="s">
        <v>0</v>
      </c>
    </row>
    <row r="98" spans="1:1">
      <c r="A98" s="2" t="s">
        <v>18</v>
      </c>
    </row>
    <row r="99" spans="1:1">
      <c r="A99" s="2">
        <v>1792</v>
      </c>
    </row>
    <row r="100" spans="1:1">
      <c r="A100" s="2" t="s">
        <v>15</v>
      </c>
    </row>
    <row r="101" spans="1:1">
      <c r="A101" s="2" t="s">
        <v>13</v>
      </c>
    </row>
    <row r="102" spans="1:1">
      <c r="A102" s="2" t="s">
        <v>11</v>
      </c>
    </row>
    <row r="103" spans="1:1">
      <c r="A103" s="2" t="s">
        <v>7</v>
      </c>
    </row>
    <row r="104" spans="1:1">
      <c r="A104" s="2" t="s">
        <v>5</v>
      </c>
    </row>
    <row r="105" spans="1:1">
      <c r="A105" s="2" t="s">
        <v>4</v>
      </c>
    </row>
    <row r="106" spans="1:1">
      <c r="A106" s="2" t="s">
        <v>3</v>
      </c>
    </row>
    <row r="107" spans="1:1">
      <c r="A107" s="2" t="s">
        <v>2</v>
      </c>
    </row>
    <row r="108" spans="1:1">
      <c r="A108" s="2" t="s">
        <v>1</v>
      </c>
    </row>
    <row r="109" spans="1:1">
      <c r="A109" s="2" t="s">
        <v>0</v>
      </c>
    </row>
    <row r="110" spans="1:1">
      <c r="A110" s="2" t="s">
        <v>18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9"/>
  <sheetViews>
    <sheetView zoomScaleSheetLayoutView="1" workbookViewId="0"/>
  </sheetViews>
  <sheetFormatPr defaultRowHeight="12.75"/>
  <cols>
    <col min="1" max="12" width="9.140625" style="2"/>
    <col min="13" max="16384" width="9.140625" style="1"/>
  </cols>
  <sheetData>
    <row r="1" spans="1:12">
      <c r="A1" s="2" t="s">
        <v>169</v>
      </c>
    </row>
    <row r="2" spans="1:12">
      <c r="B2" s="2" t="s">
        <v>168</v>
      </c>
    </row>
    <row r="3" spans="1:12">
      <c r="B3" s="2" t="s">
        <v>167</v>
      </c>
      <c r="D3" s="2" t="s">
        <v>166</v>
      </c>
      <c r="I3" s="2" t="s">
        <v>74</v>
      </c>
      <c r="J3" s="2" t="s">
        <v>165</v>
      </c>
      <c r="K3" s="2" t="s">
        <v>164</v>
      </c>
      <c r="L3" s="2" t="s">
        <v>163</v>
      </c>
    </row>
    <row r="6" spans="1:12">
      <c r="A6" s="2" t="s">
        <v>18</v>
      </c>
      <c r="I6" s="2">
        <v>1</v>
      </c>
      <c r="J6" s="2">
        <v>529.09500000000003</v>
      </c>
    </row>
    <row r="7" spans="1:12">
      <c r="A7" s="2">
        <v>1791</v>
      </c>
      <c r="B7" s="2">
        <v>2.238864</v>
      </c>
      <c r="C7" s="2">
        <f t="shared" ref="C7:C25" si="0">B7/I7</f>
        <v>0.55971599999999999</v>
      </c>
      <c r="D7" s="2">
        <v>6.3624E-2</v>
      </c>
      <c r="I7" s="2">
        <v>4</v>
      </c>
      <c r="J7" s="2">
        <v>627.50545099999999</v>
      </c>
      <c r="K7" s="2">
        <v>528.28318200000001</v>
      </c>
      <c r="L7" s="4">
        <f t="shared" ref="L7:L27" si="1">I7/K7</f>
        <v>7.5716966511343532E-3</v>
      </c>
    </row>
    <row r="8" spans="1:12">
      <c r="A8" s="2" t="s">
        <v>15</v>
      </c>
      <c r="B8" s="2">
        <v>18.515868000000001</v>
      </c>
      <c r="C8" s="2">
        <f t="shared" si="0"/>
        <v>1.2343912000000001</v>
      </c>
      <c r="D8" s="2">
        <v>4.4279359999999999</v>
      </c>
      <c r="E8" s="2">
        <f t="shared" ref="E8:E25" si="2">B8-B7</f>
        <v>16.277004000000002</v>
      </c>
      <c r="F8" s="2">
        <f t="shared" ref="F8:F25" si="3">D8-D7</f>
        <v>4.364312</v>
      </c>
      <c r="G8" s="2">
        <f t="shared" ref="G8:G33" si="4">I8-I7</f>
        <v>11</v>
      </c>
      <c r="I8" s="2">
        <v>15</v>
      </c>
      <c r="J8" s="2">
        <v>724.05441899999994</v>
      </c>
      <c r="K8" s="2">
        <v>649.694613</v>
      </c>
      <c r="L8" s="4">
        <f t="shared" si="1"/>
        <v>2.3087770315251176E-2</v>
      </c>
    </row>
    <row r="9" spans="1:12">
      <c r="A9" s="2" t="s">
        <v>13</v>
      </c>
      <c r="B9" s="2">
        <v>45.971552000000003</v>
      </c>
      <c r="C9" s="2">
        <f t="shared" si="0"/>
        <v>1.0945607619047619</v>
      </c>
      <c r="D9" s="2">
        <v>8.8896960000000007</v>
      </c>
      <c r="E9" s="2">
        <f t="shared" si="2"/>
        <v>27.455684000000002</v>
      </c>
      <c r="F9" s="2">
        <f t="shared" si="3"/>
        <v>4.4617600000000008</v>
      </c>
      <c r="G9" s="2">
        <f t="shared" si="4"/>
        <v>27</v>
      </c>
      <c r="I9" s="2">
        <v>42</v>
      </c>
      <c r="J9" s="2">
        <v>809.87088100000005</v>
      </c>
      <c r="K9" s="2">
        <v>777.06423900000004</v>
      </c>
      <c r="L9" s="4">
        <f t="shared" si="1"/>
        <v>5.4049585468055487E-2</v>
      </c>
    </row>
    <row r="10" spans="1:12">
      <c r="A10" s="2" t="s">
        <v>11</v>
      </c>
      <c r="B10" s="2">
        <v>86.334895000000003</v>
      </c>
      <c r="C10" s="2">
        <f t="shared" si="0"/>
        <v>0.95927661111111118</v>
      </c>
      <c r="D10" s="2">
        <v>12.073810999999999</v>
      </c>
      <c r="E10" s="2">
        <f t="shared" si="2"/>
        <v>40.363343</v>
      </c>
      <c r="F10" s="2">
        <f t="shared" si="3"/>
        <v>3.1841149999999985</v>
      </c>
      <c r="G10" s="2">
        <f t="shared" si="4"/>
        <v>48</v>
      </c>
      <c r="H10" s="2">
        <f t="shared" ref="H10:H33" si="5">G9/2+G10/2</f>
        <v>37.5</v>
      </c>
      <c r="I10" s="2">
        <v>90</v>
      </c>
      <c r="J10" s="2">
        <v>899.44114200000001</v>
      </c>
      <c r="K10" s="2">
        <v>925.97012400000006</v>
      </c>
      <c r="L10" s="4">
        <f t="shared" si="1"/>
        <v>9.7195360484438262E-2</v>
      </c>
    </row>
    <row r="11" spans="1:12">
      <c r="A11" s="2" t="s">
        <v>7</v>
      </c>
      <c r="B11" s="2">
        <v>126.190636</v>
      </c>
      <c r="C11" s="2">
        <f t="shared" si="0"/>
        <v>0.97822198449612396</v>
      </c>
      <c r="D11" s="2">
        <v>15.516144000000001</v>
      </c>
      <c r="E11" s="2">
        <f t="shared" si="2"/>
        <v>39.855740999999995</v>
      </c>
      <c r="F11" s="2">
        <f t="shared" si="3"/>
        <v>3.4423330000000014</v>
      </c>
      <c r="G11" s="2">
        <f t="shared" si="4"/>
        <v>39</v>
      </c>
      <c r="H11" s="2">
        <f t="shared" si="5"/>
        <v>43.5</v>
      </c>
      <c r="I11" s="2">
        <v>129</v>
      </c>
      <c r="J11" s="2">
        <v>986.32757200000003</v>
      </c>
      <c r="K11" s="2">
        <v>1060.715273</v>
      </c>
      <c r="L11" s="4">
        <f t="shared" si="1"/>
        <v>0.12161604841905581</v>
      </c>
    </row>
    <row r="12" spans="1:12">
      <c r="A12" s="2" t="s">
        <v>5</v>
      </c>
      <c r="B12" s="2">
        <v>159.325298</v>
      </c>
      <c r="C12" s="2">
        <f t="shared" si="0"/>
        <v>0.93720763529411766</v>
      </c>
      <c r="D12" s="2">
        <v>19.395761</v>
      </c>
      <c r="E12" s="2">
        <f t="shared" si="2"/>
        <v>33.134662000000006</v>
      </c>
      <c r="F12" s="2">
        <f t="shared" si="3"/>
        <v>3.8796169999999996</v>
      </c>
      <c r="G12" s="2">
        <f t="shared" si="4"/>
        <v>41</v>
      </c>
      <c r="H12" s="2">
        <f t="shared" si="5"/>
        <v>40</v>
      </c>
      <c r="I12" s="2">
        <v>170</v>
      </c>
      <c r="J12" s="2">
        <v>1042.8882189999999</v>
      </c>
      <c r="K12" s="2">
        <v>1164.7693039999999</v>
      </c>
      <c r="L12" s="4">
        <f t="shared" si="1"/>
        <v>0.14595164846480194</v>
      </c>
    </row>
    <row r="13" spans="1:12">
      <c r="A13" s="2" t="s">
        <v>4</v>
      </c>
      <c r="B13" s="2">
        <v>195.05683500000001</v>
      </c>
      <c r="C13" s="2">
        <f t="shared" si="0"/>
        <v>0.90724109302325584</v>
      </c>
      <c r="D13" s="2">
        <v>23.067637000000001</v>
      </c>
      <c r="E13" s="2">
        <f t="shared" si="2"/>
        <v>35.731537000000003</v>
      </c>
      <c r="F13" s="2">
        <f t="shared" si="3"/>
        <v>3.671876000000001</v>
      </c>
      <c r="G13" s="2">
        <f t="shared" si="4"/>
        <v>45</v>
      </c>
      <c r="H13" s="2">
        <f t="shared" si="5"/>
        <v>43</v>
      </c>
      <c r="I13" s="2">
        <v>215</v>
      </c>
      <c r="J13" s="2">
        <v>1110.820712</v>
      </c>
      <c r="K13" s="2">
        <v>1283.273226</v>
      </c>
      <c r="L13" s="4">
        <f t="shared" si="1"/>
        <v>0.16754031459859975</v>
      </c>
    </row>
    <row r="14" spans="1:12">
      <c r="A14" s="2" t="s">
        <v>3</v>
      </c>
      <c r="B14" s="2">
        <v>227.80536499999999</v>
      </c>
      <c r="C14" s="2">
        <f t="shared" si="0"/>
        <v>0.92603806910569109</v>
      </c>
      <c r="D14" s="2">
        <v>27.141266000000002</v>
      </c>
      <c r="E14" s="2">
        <f t="shared" si="2"/>
        <v>32.748529999999988</v>
      </c>
      <c r="F14" s="2">
        <f t="shared" si="3"/>
        <v>4.0736290000000004</v>
      </c>
      <c r="G14" s="2">
        <f t="shared" si="4"/>
        <v>31</v>
      </c>
      <c r="H14" s="2">
        <f t="shared" si="5"/>
        <v>38</v>
      </c>
      <c r="I14" s="2">
        <v>246</v>
      </c>
      <c r="J14" s="2">
        <v>1164.4646990000001</v>
      </c>
      <c r="K14" s="2">
        <v>1372.5853050000001</v>
      </c>
      <c r="L14" s="4">
        <f t="shared" si="1"/>
        <v>0.17922383337770034</v>
      </c>
    </row>
    <row r="15" spans="1:12">
      <c r="A15" s="2" t="s">
        <v>2</v>
      </c>
      <c r="B15" s="2">
        <v>254.89099200000001</v>
      </c>
      <c r="C15" s="2">
        <f t="shared" si="0"/>
        <v>0.89750349295774656</v>
      </c>
      <c r="D15" s="2">
        <v>30.077549999999999</v>
      </c>
      <c r="E15" s="2">
        <f t="shared" si="2"/>
        <v>27.085627000000017</v>
      </c>
      <c r="F15" s="2">
        <f t="shared" si="3"/>
        <v>2.936283999999997</v>
      </c>
      <c r="G15" s="2">
        <f t="shared" si="4"/>
        <v>38</v>
      </c>
      <c r="H15" s="2">
        <f t="shared" si="5"/>
        <v>34.5</v>
      </c>
      <c r="I15" s="2">
        <v>284</v>
      </c>
      <c r="J15" s="2">
        <v>1201.988075</v>
      </c>
      <c r="K15" s="2">
        <v>1453.131625</v>
      </c>
      <c r="L15" s="4">
        <f t="shared" si="1"/>
        <v>0.19543996917691472</v>
      </c>
    </row>
    <row r="16" spans="1:12">
      <c r="A16" s="2" t="s">
        <v>1</v>
      </c>
      <c r="B16" s="2">
        <v>282.42062700000002</v>
      </c>
      <c r="C16" s="2">
        <f t="shared" si="0"/>
        <v>0.9051943173076924</v>
      </c>
      <c r="D16" s="2">
        <v>32.933210000000003</v>
      </c>
      <c r="E16" s="2">
        <f t="shared" si="2"/>
        <v>27.529635000000013</v>
      </c>
      <c r="F16" s="2">
        <f t="shared" si="3"/>
        <v>2.8556600000000039</v>
      </c>
      <c r="G16" s="2">
        <f t="shared" si="4"/>
        <v>28</v>
      </c>
      <c r="H16" s="2">
        <f t="shared" si="5"/>
        <v>33</v>
      </c>
      <c r="I16" s="2">
        <v>312</v>
      </c>
      <c r="J16" s="2">
        <v>1301.2797989999999</v>
      </c>
      <c r="K16" s="2">
        <v>1584.0753139999999</v>
      </c>
      <c r="L16" s="4">
        <f t="shared" si="1"/>
        <v>0.19696033215249006</v>
      </c>
    </row>
    <row r="17" spans="1:12">
      <c r="A17" s="2" t="s">
        <v>0</v>
      </c>
      <c r="B17" s="2">
        <v>308.14720499999999</v>
      </c>
      <c r="C17" s="2">
        <f t="shared" si="0"/>
        <v>0.91438339762611276</v>
      </c>
      <c r="D17" s="2">
        <v>34.941378</v>
      </c>
      <c r="E17" s="2">
        <f t="shared" si="2"/>
        <v>25.726577999999961</v>
      </c>
      <c r="F17" s="2">
        <f t="shared" si="3"/>
        <v>2.0081679999999977</v>
      </c>
      <c r="G17" s="2">
        <f t="shared" si="4"/>
        <v>25</v>
      </c>
      <c r="H17" s="2">
        <f t="shared" si="5"/>
        <v>26.5</v>
      </c>
      <c r="I17" s="2">
        <v>337</v>
      </c>
      <c r="J17" s="2">
        <v>1368.218523</v>
      </c>
      <c r="K17" s="2">
        <v>1678.9204689999999</v>
      </c>
      <c r="L17" s="4">
        <f t="shared" si="1"/>
        <v>0.20072421905769261</v>
      </c>
    </row>
    <row r="18" spans="1:12">
      <c r="A18" s="2" t="s">
        <v>18</v>
      </c>
      <c r="B18" s="2">
        <v>330.94054199999999</v>
      </c>
      <c r="C18" s="2">
        <f t="shared" si="0"/>
        <v>0.89685783739837399</v>
      </c>
      <c r="D18" s="2">
        <v>37.557538000000001</v>
      </c>
      <c r="E18" s="2">
        <f t="shared" si="2"/>
        <v>22.793337000000008</v>
      </c>
      <c r="F18" s="2">
        <f t="shared" si="3"/>
        <v>2.6161600000000007</v>
      </c>
      <c r="G18" s="2">
        <f t="shared" si="4"/>
        <v>32</v>
      </c>
      <c r="H18" s="2">
        <f t="shared" si="5"/>
        <v>28.5</v>
      </c>
      <c r="I18" s="2">
        <v>369</v>
      </c>
      <c r="J18" s="2">
        <v>1395.8973970000002</v>
      </c>
      <c r="K18" s="2">
        <v>1742.2393400000001</v>
      </c>
      <c r="L18" s="4">
        <f t="shared" si="1"/>
        <v>0.21179638843420903</v>
      </c>
    </row>
    <row r="19" spans="1:12">
      <c r="A19" s="2">
        <f>A7+1</f>
        <v>1792</v>
      </c>
      <c r="B19" s="2">
        <v>356.46531199999998</v>
      </c>
      <c r="C19" s="2">
        <f t="shared" si="0"/>
        <v>0.91167598976982089</v>
      </c>
      <c r="D19" s="2">
        <v>39.376046000000002</v>
      </c>
      <c r="E19" s="2">
        <f t="shared" si="2"/>
        <v>25.52476999999999</v>
      </c>
      <c r="F19" s="2">
        <f t="shared" si="3"/>
        <v>1.8185080000000013</v>
      </c>
      <c r="G19" s="2">
        <f t="shared" si="4"/>
        <v>22</v>
      </c>
      <c r="H19" s="2">
        <f t="shared" si="5"/>
        <v>27</v>
      </c>
      <c r="I19" s="2">
        <v>391</v>
      </c>
      <c r="J19" s="2">
        <v>1462.259131</v>
      </c>
      <c r="K19" s="2">
        <v>1833.326243</v>
      </c>
      <c r="L19" s="4">
        <f t="shared" si="1"/>
        <v>0.21327355209849577</v>
      </c>
    </row>
    <row r="20" spans="1:12">
      <c r="A20" s="2" t="s">
        <v>15</v>
      </c>
      <c r="B20" s="2">
        <v>383.682076</v>
      </c>
      <c r="C20" s="2">
        <f t="shared" si="0"/>
        <v>0.91789970334928228</v>
      </c>
      <c r="D20" s="2">
        <v>41.613411999999997</v>
      </c>
      <c r="E20" s="2">
        <f t="shared" si="2"/>
        <v>27.216764000000012</v>
      </c>
      <c r="F20" s="2">
        <f t="shared" si="3"/>
        <v>2.2373659999999944</v>
      </c>
      <c r="G20" s="2">
        <f t="shared" si="4"/>
        <v>27</v>
      </c>
      <c r="H20" s="2">
        <f t="shared" si="5"/>
        <v>24.5</v>
      </c>
      <c r="I20" s="2">
        <v>418</v>
      </c>
      <c r="J20" s="2">
        <v>1531.0475990000002</v>
      </c>
      <c r="K20" s="2">
        <v>1931.9108960000001</v>
      </c>
      <c r="L20" s="4">
        <f t="shared" si="1"/>
        <v>0.21636608648228256</v>
      </c>
    </row>
    <row r="21" spans="1:12">
      <c r="A21" s="2" t="s">
        <v>13</v>
      </c>
      <c r="B21" s="2">
        <v>416.19534199999998</v>
      </c>
      <c r="C21" s="2">
        <f t="shared" si="0"/>
        <v>0.91071190809628</v>
      </c>
      <c r="D21" s="2">
        <v>44.213068</v>
      </c>
      <c r="E21" s="2">
        <f t="shared" si="2"/>
        <v>32.513265999999987</v>
      </c>
      <c r="F21" s="2">
        <f t="shared" si="3"/>
        <v>2.5996560000000031</v>
      </c>
      <c r="G21" s="2">
        <f t="shared" si="4"/>
        <v>39</v>
      </c>
      <c r="H21" s="2">
        <f t="shared" si="5"/>
        <v>33</v>
      </c>
      <c r="I21" s="2">
        <v>457</v>
      </c>
      <c r="J21" s="2">
        <v>1571.754592</v>
      </c>
      <c r="K21" s="2">
        <v>2014.0517580000001</v>
      </c>
      <c r="L21" s="4">
        <f t="shared" si="1"/>
        <v>0.22690578739337441</v>
      </c>
    </row>
    <row r="22" spans="1:12">
      <c r="A22" s="2" t="s">
        <v>11</v>
      </c>
      <c r="B22" s="2">
        <v>448.38001800000001</v>
      </c>
      <c r="C22" s="2">
        <f t="shared" si="0"/>
        <v>0.9206981889117043</v>
      </c>
      <c r="D22" s="2">
        <v>46.338078000000003</v>
      </c>
      <c r="E22" s="2">
        <f t="shared" si="2"/>
        <v>32.184676000000024</v>
      </c>
      <c r="F22" s="2">
        <f t="shared" si="3"/>
        <v>2.1250100000000032</v>
      </c>
      <c r="G22" s="2">
        <f t="shared" si="4"/>
        <v>30</v>
      </c>
      <c r="H22" s="2">
        <f t="shared" si="5"/>
        <v>34.5</v>
      </c>
      <c r="I22" s="2">
        <v>487</v>
      </c>
      <c r="J22" s="2">
        <v>1623.2049820000002</v>
      </c>
      <c r="K22" s="2">
        <v>2097.3173510000001</v>
      </c>
      <c r="L22" s="4">
        <f t="shared" si="1"/>
        <v>0.23220138801016382</v>
      </c>
    </row>
    <row r="23" spans="1:12">
      <c r="A23" s="2" t="s">
        <v>7</v>
      </c>
      <c r="B23" s="2">
        <v>485.39572800000002</v>
      </c>
      <c r="C23" s="2">
        <f t="shared" si="0"/>
        <v>0.92809890630975145</v>
      </c>
      <c r="D23" s="2">
        <v>49.694259000000002</v>
      </c>
      <c r="E23" s="2">
        <f t="shared" si="2"/>
        <v>37.015710000000013</v>
      </c>
      <c r="F23" s="2">
        <f t="shared" si="3"/>
        <v>3.3561809999999994</v>
      </c>
      <c r="G23" s="2">
        <f t="shared" si="4"/>
        <v>36</v>
      </c>
      <c r="H23" s="2">
        <f t="shared" si="5"/>
        <v>33</v>
      </c>
      <c r="I23" s="2">
        <v>523</v>
      </c>
      <c r="J23" s="2">
        <v>1694.7878330000001</v>
      </c>
      <c r="K23" s="2">
        <v>2206.9192440000002</v>
      </c>
      <c r="L23" s="4">
        <f t="shared" si="1"/>
        <v>0.23698193824803132</v>
      </c>
    </row>
    <row r="24" spans="1:12">
      <c r="A24" s="2" t="s">
        <v>5</v>
      </c>
      <c r="B24" s="2">
        <v>513.14266299999997</v>
      </c>
      <c r="C24" s="2">
        <f t="shared" si="0"/>
        <v>0.9146928039215686</v>
      </c>
      <c r="D24" s="2">
        <v>51.567072000000003</v>
      </c>
      <c r="E24" s="2">
        <f t="shared" si="2"/>
        <v>27.746934999999951</v>
      </c>
      <c r="F24" s="2">
        <f t="shared" si="3"/>
        <v>1.8728130000000007</v>
      </c>
      <c r="G24" s="2">
        <f t="shared" si="4"/>
        <v>38</v>
      </c>
      <c r="H24" s="2">
        <f t="shared" si="5"/>
        <v>37</v>
      </c>
      <c r="I24" s="2">
        <v>561</v>
      </c>
      <c r="J24" s="2">
        <v>1724.4592439999999</v>
      </c>
      <c r="K24" s="2">
        <v>2276.0173279999999</v>
      </c>
      <c r="L24" s="4">
        <f t="shared" si="1"/>
        <v>0.24648318494699967</v>
      </c>
    </row>
    <row r="25" spans="1:12">
      <c r="A25" s="2" t="s">
        <v>4</v>
      </c>
      <c r="B25" s="2">
        <v>538.55977499999995</v>
      </c>
      <c r="C25" s="2">
        <f t="shared" si="0"/>
        <v>0.91747832197614987</v>
      </c>
      <c r="D25" s="2">
        <v>53.588095000000003</v>
      </c>
      <c r="E25" s="2">
        <f t="shared" si="2"/>
        <v>25.417111999999975</v>
      </c>
      <c r="F25" s="2">
        <f t="shared" si="3"/>
        <v>2.0210229999999996</v>
      </c>
      <c r="G25" s="2">
        <f t="shared" si="4"/>
        <v>26</v>
      </c>
      <c r="H25" s="2">
        <f t="shared" si="5"/>
        <v>32</v>
      </c>
      <c r="I25" s="2">
        <v>587</v>
      </c>
      <c r="J25" s="2">
        <v>1767.5510880000002</v>
      </c>
      <c r="K25" s="2">
        <v>2345.8127720000002</v>
      </c>
      <c r="L25" s="4">
        <f t="shared" si="1"/>
        <v>0.25023309916568226</v>
      </c>
    </row>
    <row r="26" spans="1:12">
      <c r="A26" s="2" t="s">
        <v>3</v>
      </c>
      <c r="G26" s="2">
        <f t="shared" si="4"/>
        <v>20</v>
      </c>
      <c r="H26" s="2">
        <f t="shared" si="5"/>
        <v>23</v>
      </c>
      <c r="I26" s="2">
        <v>607</v>
      </c>
      <c r="J26" s="2">
        <v>1834.2919999999999</v>
      </c>
      <c r="K26" s="2">
        <v>2441.2919999999999</v>
      </c>
      <c r="L26" s="4">
        <f t="shared" si="1"/>
        <v>0.24863883550185722</v>
      </c>
    </row>
    <row r="27" spans="1:12">
      <c r="A27" s="2" t="s">
        <v>162</v>
      </c>
      <c r="B27" s="2">
        <v>558.92096900000001</v>
      </c>
      <c r="C27" s="2">
        <f>B27/617</f>
        <v>0.90586866936790922</v>
      </c>
      <c r="D27" s="2">
        <v>55.990597000000001</v>
      </c>
      <c r="E27" s="2">
        <f>(B27-B25)/1.5</f>
        <v>13.57412933333338</v>
      </c>
      <c r="F27" s="2">
        <f>(D27-D25)/1.5</f>
        <v>1.601667999999999</v>
      </c>
      <c r="G27" s="2">
        <f t="shared" si="4"/>
        <v>10</v>
      </c>
      <c r="H27" s="2">
        <f t="shared" si="5"/>
        <v>15</v>
      </c>
      <c r="I27" s="2">
        <v>617</v>
      </c>
      <c r="J27" s="2">
        <v>1882.9679779999999</v>
      </c>
      <c r="K27" s="2">
        <v>2492.3311779999999</v>
      </c>
      <c r="L27" s="4">
        <f t="shared" si="1"/>
        <v>0.24755939557563889</v>
      </c>
    </row>
    <row r="28" spans="1:12">
      <c r="G28" s="2">
        <f t="shared" si="4"/>
        <v>23</v>
      </c>
      <c r="H28" s="2">
        <f t="shared" si="5"/>
        <v>16.5</v>
      </c>
      <c r="I28" s="2">
        <v>640</v>
      </c>
    </row>
    <row r="29" spans="1:12">
      <c r="G29" s="2">
        <f t="shared" si="4"/>
        <v>13</v>
      </c>
      <c r="H29" s="2">
        <f t="shared" si="5"/>
        <v>18</v>
      </c>
      <c r="I29" s="2">
        <v>653</v>
      </c>
    </row>
    <row r="30" spans="1:12">
      <c r="A30" s="2" t="s">
        <v>18</v>
      </c>
      <c r="G30" s="2">
        <f t="shared" si="4"/>
        <v>8</v>
      </c>
      <c r="H30" s="2">
        <f t="shared" si="5"/>
        <v>10.5</v>
      </c>
      <c r="I30" s="2">
        <v>661</v>
      </c>
    </row>
    <row r="31" spans="1:12">
      <c r="A31" s="2">
        <v>1791</v>
      </c>
      <c r="G31" s="2">
        <f t="shared" si="4"/>
        <v>21</v>
      </c>
      <c r="H31" s="2">
        <f t="shared" si="5"/>
        <v>14.5</v>
      </c>
      <c r="I31" s="2">
        <v>682</v>
      </c>
    </row>
    <row r="32" spans="1:12">
      <c r="A32" s="2" t="s">
        <v>15</v>
      </c>
      <c r="G32" s="2">
        <f t="shared" si="4"/>
        <v>16</v>
      </c>
      <c r="H32" s="2">
        <f t="shared" si="5"/>
        <v>18.5</v>
      </c>
      <c r="I32" s="2">
        <v>698</v>
      </c>
    </row>
    <row r="33" spans="1:9">
      <c r="A33" s="2" t="s">
        <v>13</v>
      </c>
      <c r="G33" s="2">
        <f t="shared" si="4"/>
        <v>17</v>
      </c>
      <c r="H33" s="2">
        <f t="shared" si="5"/>
        <v>16.5</v>
      </c>
      <c r="I33" s="2">
        <v>715</v>
      </c>
    </row>
    <row r="34" spans="1:9">
      <c r="A34" s="2" t="s">
        <v>11</v>
      </c>
    </row>
    <row r="35" spans="1:9">
      <c r="A35" s="2" t="s">
        <v>7</v>
      </c>
    </row>
    <row r="36" spans="1:9">
      <c r="A36" s="2" t="s">
        <v>5</v>
      </c>
    </row>
    <row r="37" spans="1:9">
      <c r="A37" s="2" t="s">
        <v>4</v>
      </c>
    </row>
    <row r="38" spans="1:9">
      <c r="A38" s="2" t="s">
        <v>3</v>
      </c>
    </row>
    <row r="39" spans="1:9">
      <c r="A39" s="2" t="s">
        <v>2</v>
      </c>
    </row>
    <row r="40" spans="1:9">
      <c r="A40" s="2" t="s">
        <v>1</v>
      </c>
    </row>
    <row r="41" spans="1:9">
      <c r="A41" s="2" t="s">
        <v>0</v>
      </c>
    </row>
    <row r="42" spans="1:9">
      <c r="A42" s="2" t="s">
        <v>18</v>
      </c>
    </row>
    <row r="43" spans="1:9">
      <c r="A43" s="2">
        <f>A31+1</f>
        <v>1792</v>
      </c>
    </row>
    <row r="44" spans="1:9">
      <c r="A44" s="2" t="s">
        <v>15</v>
      </c>
    </row>
    <row r="45" spans="1:9">
      <c r="A45" s="2" t="s">
        <v>13</v>
      </c>
    </row>
    <row r="46" spans="1:9">
      <c r="A46" s="2" t="s">
        <v>11</v>
      </c>
    </row>
    <row r="47" spans="1:9">
      <c r="A47" s="2" t="s">
        <v>7</v>
      </c>
    </row>
    <row r="48" spans="1:9">
      <c r="A48" s="2" t="s">
        <v>5</v>
      </c>
    </row>
    <row r="49" spans="1:1">
      <c r="A49" s="2" t="s">
        <v>4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505"/>
  <sheetViews>
    <sheetView topLeftCell="O100" zoomScaleSheetLayoutView="1" workbookViewId="0">
      <selection activeCell="T109" sqref="T109"/>
    </sheetView>
  </sheetViews>
  <sheetFormatPr defaultRowHeight="12.75"/>
  <cols>
    <col min="1" max="35" width="9.140625" style="2"/>
    <col min="36" max="16384" width="9.140625" style="1"/>
  </cols>
  <sheetData>
    <row r="1" spans="1:35">
      <c r="B1" s="2" t="s">
        <v>69</v>
      </c>
      <c r="C1" s="2" t="s">
        <v>140</v>
      </c>
      <c r="D1" s="2" t="s">
        <v>161</v>
      </c>
      <c r="E1" s="2" t="s">
        <v>156</v>
      </c>
      <c r="F1" s="2" t="s">
        <v>156</v>
      </c>
      <c r="J1" s="2" t="s">
        <v>142</v>
      </c>
      <c r="K1" s="2" t="s">
        <v>96</v>
      </c>
      <c r="L1" s="2" t="s">
        <v>161</v>
      </c>
      <c r="M1" s="2" t="s">
        <v>156</v>
      </c>
      <c r="N1" s="2" t="s">
        <v>156</v>
      </c>
      <c r="R1" s="2" t="s">
        <v>140</v>
      </c>
      <c r="S1" s="2" t="s">
        <v>96</v>
      </c>
      <c r="T1" s="2" t="s">
        <v>161</v>
      </c>
      <c r="U1" s="2" t="s">
        <v>156</v>
      </c>
      <c r="V1" s="2" t="s">
        <v>156</v>
      </c>
      <c r="W1" s="2" t="s">
        <v>160</v>
      </c>
      <c r="X1" s="2" t="s">
        <v>90</v>
      </c>
      <c r="Y1" s="2" t="s">
        <v>159</v>
      </c>
      <c r="AA1" s="2" t="s">
        <v>159</v>
      </c>
      <c r="AE1" s="2" t="s">
        <v>158</v>
      </c>
      <c r="AF1" s="2" t="s">
        <v>157</v>
      </c>
      <c r="AH1" s="2" t="s">
        <v>156</v>
      </c>
    </row>
    <row r="2" spans="1:35">
      <c r="C2" s="2" t="s">
        <v>155</v>
      </c>
      <c r="E2" s="2" t="s">
        <v>154</v>
      </c>
      <c r="F2" s="2" t="s">
        <v>153</v>
      </c>
      <c r="M2" s="2" t="s">
        <v>154</v>
      </c>
      <c r="N2" s="2" t="s">
        <v>153</v>
      </c>
      <c r="U2" s="2" t="s">
        <v>154</v>
      </c>
      <c r="V2" s="2" t="s">
        <v>153</v>
      </c>
      <c r="W2" s="2" t="s">
        <v>152</v>
      </c>
      <c r="Y2" s="2" t="s">
        <v>151</v>
      </c>
      <c r="AA2" s="2" t="s">
        <v>150</v>
      </c>
      <c r="AE2" s="2" t="s">
        <v>149</v>
      </c>
      <c r="AH2" s="2" t="s">
        <v>148</v>
      </c>
    </row>
    <row r="3" spans="1:35">
      <c r="H3" s="2" t="s">
        <v>46</v>
      </c>
      <c r="K3" s="2" t="s">
        <v>46</v>
      </c>
      <c r="AI3" s="2" t="s">
        <v>147</v>
      </c>
    </row>
    <row r="4" spans="1:35">
      <c r="A4" s="2">
        <v>8</v>
      </c>
      <c r="B4" s="2">
        <v>24.35</v>
      </c>
      <c r="C4" s="2">
        <v>194.75</v>
      </c>
      <c r="D4" s="2">
        <f t="shared" ref="D4:D51" si="0">C4*24/B4</f>
        <v>191.95071868583162</v>
      </c>
      <c r="E4" s="4">
        <f t="shared" ref="E4:E51" si="1">D4/186.719-1</f>
        <v>2.8019209003002477E-2</v>
      </c>
      <c r="F4" s="4">
        <f t="shared" ref="F4:F51" si="2">D4/193.342-1</f>
        <v>-7.1959600819707648E-3</v>
      </c>
      <c r="H4" s="2">
        <v>204</v>
      </c>
      <c r="I4" s="2">
        <v>26</v>
      </c>
      <c r="J4" s="2">
        <v>1385</v>
      </c>
      <c r="K4" s="2">
        <v>172</v>
      </c>
      <c r="L4" s="2">
        <f>J4/K4*24</f>
        <v>193.25581395348837</v>
      </c>
      <c r="M4" s="4">
        <f>L4/186.719-1</f>
        <v>3.5008831203511059E-2</v>
      </c>
      <c r="N4" s="4">
        <f>L4/193.342-1</f>
        <v>-4.4576991296063628E-4</v>
      </c>
      <c r="P4" s="2">
        <v>1795</v>
      </c>
      <c r="Q4" s="2" t="s">
        <v>139</v>
      </c>
      <c r="R4" s="2">
        <v>1385</v>
      </c>
      <c r="S4" s="2">
        <v>172</v>
      </c>
      <c r="T4" s="2">
        <f>R4/S4*24</f>
        <v>193.25581395348837</v>
      </c>
      <c r="U4" s="4" t="e">
        <f>IF(#REF!,T4&gt;0,_xll.LOTUS_ERR(+T4/186.719-1))</f>
        <v>#REF!</v>
      </c>
      <c r="V4" s="4" t="e">
        <f>IF(#REF!,T4&gt;0,_xll.LOTUS_ERR(+T4/193.342-1))</f>
        <v>#REF!</v>
      </c>
      <c r="AD4" s="2" t="s">
        <v>3</v>
      </c>
      <c r="AE4" s="2">
        <v>98.625</v>
      </c>
      <c r="AF4" s="2">
        <v>24.35</v>
      </c>
      <c r="AG4" s="2">
        <f t="shared" ref="AG4:AG35" si="3">24/AF4*100</f>
        <v>98.562628336755637</v>
      </c>
      <c r="AH4" s="4">
        <f t="shared" ref="AH4:AH35" si="4">AG4/AE4-1</f>
        <v>-6.3241230159050144E-4</v>
      </c>
      <c r="AI4" s="4">
        <f>AVERAGEA(AH4:AH8)</f>
        <v>1.0183796115091014E-3</v>
      </c>
    </row>
    <row r="5" spans="1:35">
      <c r="A5" s="2">
        <v>9</v>
      </c>
      <c r="B5" s="2">
        <v>24.45</v>
      </c>
      <c r="C5" s="2">
        <v>195.5</v>
      </c>
      <c r="D5" s="2">
        <f t="shared" si="0"/>
        <v>191.90184049079755</v>
      </c>
      <c r="E5" s="4">
        <f t="shared" si="1"/>
        <v>2.775743491983973E-2</v>
      </c>
      <c r="F5" s="4">
        <f t="shared" si="2"/>
        <v>-7.4487669994230954E-3</v>
      </c>
      <c r="H5" s="2">
        <v>185</v>
      </c>
      <c r="I5" s="2" t="s">
        <v>111</v>
      </c>
      <c r="J5" s="2">
        <v>1420</v>
      </c>
      <c r="K5" s="2">
        <v>204</v>
      </c>
      <c r="L5" s="2">
        <v>167.05882352941177</v>
      </c>
      <c r="M5" s="4">
        <v>-0.10529285434577214</v>
      </c>
      <c r="N5" s="4">
        <v>-0.1359413705795339</v>
      </c>
      <c r="R5" s="2">
        <v>1380</v>
      </c>
      <c r="S5" s="2">
        <v>180</v>
      </c>
      <c r="T5" s="2">
        <v>184</v>
      </c>
      <c r="U5" s="4">
        <v>-1.4561988870977212E-2</v>
      </c>
      <c r="V5" s="4">
        <v>-4.8318523652388062E-2</v>
      </c>
      <c r="AD5" s="2" t="s">
        <v>2</v>
      </c>
      <c r="AE5" s="2">
        <v>98</v>
      </c>
      <c r="AF5" s="2">
        <v>24.45</v>
      </c>
      <c r="AG5" s="2">
        <f t="shared" si="3"/>
        <v>98.159509202453989</v>
      </c>
      <c r="AH5" s="4">
        <f t="shared" si="4"/>
        <v>1.6276449229999379E-3</v>
      </c>
    </row>
    <row r="6" spans="1:35">
      <c r="A6" s="2">
        <v>10</v>
      </c>
      <c r="B6" s="2">
        <v>24.55</v>
      </c>
      <c r="C6" s="2">
        <v>198.5</v>
      </c>
      <c r="D6" s="2">
        <f t="shared" si="0"/>
        <v>194.05295315682281</v>
      </c>
      <c r="E6" s="4">
        <f t="shared" si="1"/>
        <v>3.9278022894417841E-2</v>
      </c>
      <c r="F6" s="4">
        <f t="shared" si="2"/>
        <v>3.6771790755387723E-3</v>
      </c>
      <c r="H6" s="2">
        <v>198</v>
      </c>
      <c r="I6" s="2">
        <v>6</v>
      </c>
      <c r="J6" s="2">
        <v>1485</v>
      </c>
      <c r="K6" s="2">
        <v>200</v>
      </c>
      <c r="L6" s="2">
        <v>178.2</v>
      </c>
      <c r="M6" s="4">
        <v>-4.5624708787000819E-2</v>
      </c>
      <c r="N6" s="4">
        <v>-7.8317178885084576E-2</v>
      </c>
      <c r="R6" s="2">
        <v>1400</v>
      </c>
      <c r="S6" s="2">
        <v>190</v>
      </c>
      <c r="T6" s="2">
        <v>176.84210526315789</v>
      </c>
      <c r="U6" s="4">
        <v>-5.2897106008719545E-2</v>
      </c>
      <c r="V6" s="4">
        <v>-8.5340457514880994E-2</v>
      </c>
      <c r="AD6" s="2" t="s">
        <v>1</v>
      </c>
      <c r="AE6" s="2">
        <v>97.5</v>
      </c>
      <c r="AF6" s="2">
        <v>24.55</v>
      </c>
      <c r="AG6" s="2">
        <f t="shared" si="3"/>
        <v>97.759674134419555</v>
      </c>
      <c r="AH6" s="4">
        <f t="shared" si="4"/>
        <v>2.6633244555851476E-3</v>
      </c>
    </row>
    <row r="7" spans="1:35">
      <c r="A7" s="2">
        <v>11</v>
      </c>
      <c r="B7" s="2">
        <v>24.85</v>
      </c>
      <c r="C7" s="2">
        <v>207</v>
      </c>
      <c r="D7" s="2">
        <f t="shared" si="0"/>
        <v>199.91951710261569</v>
      </c>
      <c r="E7" s="4">
        <f t="shared" si="1"/>
        <v>7.0697235431936178E-2</v>
      </c>
      <c r="F7" s="4">
        <f t="shared" si="2"/>
        <v>3.4020115146298657E-2</v>
      </c>
      <c r="G7" s="2">
        <v>4</v>
      </c>
      <c r="H7" s="2">
        <v>229</v>
      </c>
      <c r="I7" s="2">
        <v>11</v>
      </c>
      <c r="J7" s="2">
        <v>1675</v>
      </c>
      <c r="K7" s="2">
        <v>185</v>
      </c>
      <c r="L7" s="2">
        <v>217.29729729729729</v>
      </c>
      <c r="M7" s="4">
        <v>0.16376639387152511</v>
      </c>
      <c r="N7" s="4">
        <v>0.12390115596868387</v>
      </c>
      <c r="R7" s="2">
        <v>1400</v>
      </c>
      <c r="S7" s="2">
        <v>195</v>
      </c>
      <c r="T7" s="2">
        <v>172.30769230769232</v>
      </c>
      <c r="U7" s="4">
        <v>-7.7181795598239455E-2</v>
      </c>
      <c r="V7" s="4">
        <v>-0.10879326629655063</v>
      </c>
      <c r="AD7" s="2" t="s">
        <v>0</v>
      </c>
      <c r="AE7" s="2">
        <v>96.5</v>
      </c>
      <c r="AF7" s="2">
        <v>24.85</v>
      </c>
      <c r="AG7" s="2">
        <f t="shared" si="3"/>
        <v>96.579476861166995</v>
      </c>
      <c r="AH7" s="4">
        <f t="shared" si="4"/>
        <v>8.2359441623824914E-4</v>
      </c>
    </row>
    <row r="8" spans="1:35">
      <c r="A8" s="2">
        <v>12</v>
      </c>
      <c r="B8" s="2">
        <v>25.05</v>
      </c>
      <c r="C8" s="2">
        <v>203</v>
      </c>
      <c r="D8" s="2">
        <f t="shared" si="0"/>
        <v>194.49101796407186</v>
      </c>
      <c r="E8" s="4">
        <f t="shared" si="1"/>
        <v>4.1624140896597828E-2</v>
      </c>
      <c r="F8" s="4">
        <f t="shared" si="2"/>
        <v>5.9429299586837292E-3</v>
      </c>
      <c r="H8" s="2">
        <v>292</v>
      </c>
      <c r="I8" s="2">
        <v>16</v>
      </c>
      <c r="J8" s="2">
        <v>1515</v>
      </c>
      <c r="K8" s="2">
        <v>185</v>
      </c>
      <c r="L8" s="2">
        <v>196.54054054054055</v>
      </c>
      <c r="M8" s="4">
        <v>5.2600648785289944E-2</v>
      </c>
      <c r="N8" s="4">
        <v>1.654343360749622E-2</v>
      </c>
      <c r="Q8" s="2" t="s">
        <v>117</v>
      </c>
      <c r="R8" s="2">
        <v>1420</v>
      </c>
      <c r="S8" s="2">
        <v>204</v>
      </c>
      <c r="T8" s="2">
        <v>167.05882352941177</v>
      </c>
      <c r="U8" s="4">
        <v>-0.10529285434577214</v>
      </c>
      <c r="V8" s="4">
        <v>-0.1359413705795339</v>
      </c>
      <c r="AD8" s="2" t="s">
        <v>18</v>
      </c>
      <c r="AE8" s="2">
        <v>95.75</v>
      </c>
      <c r="AF8" s="2">
        <v>25.05</v>
      </c>
      <c r="AG8" s="2">
        <f t="shared" si="3"/>
        <v>95.808383233532936</v>
      </c>
      <c r="AH8" s="4">
        <f t="shared" si="4"/>
        <v>6.0974656431267427E-4</v>
      </c>
    </row>
    <row r="9" spans="1:35">
      <c r="A9" s="2">
        <v>1790</v>
      </c>
      <c r="B9" s="2">
        <v>24.85</v>
      </c>
      <c r="C9" s="2">
        <v>204.25</v>
      </c>
      <c r="D9" s="2">
        <f t="shared" si="0"/>
        <v>197.2635814889336</v>
      </c>
      <c r="E9" s="4">
        <f t="shared" si="1"/>
        <v>5.647299679697082E-2</v>
      </c>
      <c r="F9" s="4">
        <f t="shared" si="2"/>
        <v>2.028313294024886E-2</v>
      </c>
      <c r="H9" s="2">
        <v>390</v>
      </c>
      <c r="I9" s="2">
        <v>21</v>
      </c>
      <c r="J9" s="2">
        <v>1637</v>
      </c>
      <c r="K9" s="2">
        <v>198</v>
      </c>
      <c r="L9" s="2">
        <v>198.42424242424244</v>
      </c>
      <c r="M9" s="4">
        <v>6.2689080512655079E-2</v>
      </c>
      <c r="N9" s="4">
        <v>2.6286282464453782E-2</v>
      </c>
      <c r="U9" s="4" t="e">
        <v>#NUM!</v>
      </c>
      <c r="V9" s="4" t="e">
        <v>#NUM!</v>
      </c>
      <c r="AD9" s="2">
        <v>1790</v>
      </c>
      <c r="AE9" s="2">
        <v>96.5</v>
      </c>
      <c r="AF9" s="2">
        <v>24.85</v>
      </c>
      <c r="AG9" s="2">
        <f t="shared" si="3"/>
        <v>96.579476861166995</v>
      </c>
      <c r="AH9" s="4">
        <f t="shared" si="4"/>
        <v>8.2359441623824914E-4</v>
      </c>
      <c r="AI9" s="4">
        <f>AVERAGEA(AH9:AH20)</f>
        <v>2.1556455508193093E-3</v>
      </c>
    </row>
    <row r="10" spans="1:35">
      <c r="A10" s="2">
        <v>2</v>
      </c>
      <c r="B10" s="2">
        <v>25</v>
      </c>
      <c r="C10" s="2">
        <v>203.25</v>
      </c>
      <c r="D10" s="2">
        <f t="shared" si="0"/>
        <v>195.12</v>
      </c>
      <c r="E10" s="4">
        <f t="shared" si="1"/>
        <v>4.4992743105950694E-2</v>
      </c>
      <c r="F10" s="4">
        <f t="shared" si="2"/>
        <v>9.1961394834023658E-3</v>
      </c>
      <c r="I10" s="2">
        <v>26</v>
      </c>
      <c r="J10" s="2">
        <v>1535</v>
      </c>
      <c r="K10" s="2">
        <v>198</v>
      </c>
      <c r="L10" s="2">
        <v>186.06060606060606</v>
      </c>
      <c r="M10" s="4">
        <v>-3.5261218161726005E-3</v>
      </c>
      <c r="N10" s="4">
        <v>-3.7660694207124937E-2</v>
      </c>
      <c r="R10" s="2">
        <v>1465</v>
      </c>
      <c r="S10" s="2">
        <v>200</v>
      </c>
      <c r="T10" s="2">
        <v>175.8</v>
      </c>
      <c r="U10" s="4">
        <v>-5.8478248062596647E-2</v>
      </c>
      <c r="V10" s="4">
        <v>-9.0730415533096798E-2</v>
      </c>
      <c r="AD10" s="2" t="s">
        <v>15</v>
      </c>
      <c r="AE10" s="2">
        <v>95.5</v>
      </c>
      <c r="AF10" s="2">
        <v>25</v>
      </c>
      <c r="AG10" s="2">
        <f t="shared" si="3"/>
        <v>96</v>
      </c>
      <c r="AH10" s="4">
        <f t="shared" si="4"/>
        <v>5.2356020942407877E-3</v>
      </c>
    </row>
    <row r="11" spans="1:35">
      <c r="A11" s="2">
        <v>3</v>
      </c>
      <c r="B11" s="2">
        <v>25.25</v>
      </c>
      <c r="C11" s="2">
        <v>209.5</v>
      </c>
      <c r="D11" s="2">
        <f t="shared" si="0"/>
        <v>199.12871287128712</v>
      </c>
      <c r="E11" s="4">
        <f t="shared" si="1"/>
        <v>6.6461971579149015E-2</v>
      </c>
      <c r="F11" s="4">
        <f t="shared" si="2"/>
        <v>2.9929931785577457E-2</v>
      </c>
      <c r="H11" s="2">
        <v>417</v>
      </c>
      <c r="I11" s="2" t="s">
        <v>27</v>
      </c>
      <c r="J11" s="2">
        <v>1685</v>
      </c>
      <c r="K11" s="2">
        <v>229</v>
      </c>
      <c r="L11" s="2">
        <v>176.5938864628821</v>
      </c>
      <c r="M11" s="4">
        <v>-5.422647688300547E-2</v>
      </c>
      <c r="N11" s="4">
        <v>-8.6624290310009802E-2</v>
      </c>
      <c r="R11" s="2">
        <v>1455</v>
      </c>
      <c r="S11" s="2">
        <v>186</v>
      </c>
      <c r="T11" s="2">
        <v>187.74193548387098</v>
      </c>
      <c r="U11" s="4">
        <v>5.4784755909735002E-3</v>
      </c>
      <c r="V11" s="4">
        <v>-2.8964552534519336E-2</v>
      </c>
      <c r="AD11" s="2" t="s">
        <v>13</v>
      </c>
      <c r="AE11" s="2">
        <v>94.5</v>
      </c>
      <c r="AF11" s="2">
        <v>25.25</v>
      </c>
      <c r="AG11" s="2">
        <f t="shared" si="3"/>
        <v>95.049504950495049</v>
      </c>
      <c r="AH11" s="4">
        <f t="shared" si="4"/>
        <v>5.8148672010058799E-3</v>
      </c>
    </row>
    <row r="12" spans="1:35">
      <c r="A12" s="2">
        <v>4</v>
      </c>
      <c r="B12" s="2">
        <v>25.5</v>
      </c>
      <c r="C12" s="2">
        <v>202</v>
      </c>
      <c r="D12" s="2">
        <f t="shared" si="0"/>
        <v>190.11764705882354</v>
      </c>
      <c r="E12" s="4">
        <f t="shared" si="1"/>
        <v>1.8201934772698714E-2</v>
      </c>
      <c r="F12" s="4">
        <f t="shared" si="2"/>
        <v>-1.6676940039807575E-2</v>
      </c>
      <c r="H12" s="2">
        <v>637</v>
      </c>
      <c r="I12" s="2">
        <v>6</v>
      </c>
      <c r="J12" s="2">
        <v>1800</v>
      </c>
      <c r="K12" s="2">
        <v>238</v>
      </c>
      <c r="L12" s="2">
        <v>181.51260504201682</v>
      </c>
      <c r="M12" s="4">
        <v>-2.7883584198625629E-2</v>
      </c>
      <c r="N12" s="4">
        <v>-6.1183782923437208E-2</v>
      </c>
      <c r="S12" s="2">
        <v>200</v>
      </c>
      <c r="U12" s="4" t="e">
        <v>#NUM!</v>
      </c>
      <c r="V12" s="4" t="e">
        <v>#NUM!</v>
      </c>
      <c r="AD12" s="2" t="s">
        <v>11</v>
      </c>
      <c r="AE12" s="2">
        <v>94</v>
      </c>
      <c r="AF12" s="2">
        <v>25.5</v>
      </c>
      <c r="AG12" s="2">
        <f t="shared" si="3"/>
        <v>94.117647058823522</v>
      </c>
      <c r="AH12" s="4">
        <f t="shared" si="4"/>
        <v>1.2515644555692873E-3</v>
      </c>
    </row>
    <row r="13" spans="1:35">
      <c r="A13" s="2">
        <v>5</v>
      </c>
      <c r="B13" s="2">
        <v>25.5</v>
      </c>
      <c r="C13" s="2">
        <v>201.25</v>
      </c>
      <c r="D13" s="2">
        <f t="shared" si="0"/>
        <v>189.41176470588235</v>
      </c>
      <c r="E13" s="4">
        <f t="shared" si="1"/>
        <v>1.4421482044582268E-2</v>
      </c>
      <c r="F13" s="4">
        <f t="shared" si="2"/>
        <v>-2.0327891995105429E-2</v>
      </c>
      <c r="G13" s="2">
        <v>5</v>
      </c>
      <c r="H13" s="2">
        <v>893</v>
      </c>
      <c r="I13" s="2">
        <v>11</v>
      </c>
      <c r="J13" s="2">
        <v>2030</v>
      </c>
      <c r="K13" s="2">
        <v>292</v>
      </c>
      <c r="L13" s="2">
        <v>166.84931506849315</v>
      </c>
      <c r="M13" s="4">
        <v>-0.10641490652535007</v>
      </c>
      <c r="N13" s="4">
        <v>-0.13702498645667707</v>
      </c>
      <c r="R13" s="2">
        <v>1485</v>
      </c>
      <c r="S13" s="2">
        <v>200</v>
      </c>
      <c r="T13" s="2">
        <v>178.2</v>
      </c>
      <c r="U13" s="4">
        <v>-4.5624708787000819E-2</v>
      </c>
      <c r="V13" s="4">
        <v>-7.8317178885084576E-2</v>
      </c>
      <c r="AD13" s="2" t="s">
        <v>146</v>
      </c>
      <c r="AE13" s="2">
        <v>94</v>
      </c>
      <c r="AF13" s="2">
        <v>25.5</v>
      </c>
      <c r="AG13" s="2">
        <f t="shared" si="3"/>
        <v>94.117647058823522</v>
      </c>
      <c r="AH13" s="4">
        <f t="shared" si="4"/>
        <v>1.2515644555692873E-3</v>
      </c>
    </row>
    <row r="14" spans="1:35">
      <c r="A14" s="2">
        <v>6</v>
      </c>
      <c r="B14" s="2">
        <v>25</v>
      </c>
      <c r="C14" s="2">
        <v>201</v>
      </c>
      <c r="D14" s="2">
        <f t="shared" si="0"/>
        <v>192.96</v>
      </c>
      <c r="E14" s="4">
        <f t="shared" si="1"/>
        <v>3.3424557757914419E-2</v>
      </c>
      <c r="F14" s="4">
        <f t="shared" si="2"/>
        <v>-1.9757734998087084E-3</v>
      </c>
      <c r="H14" s="2">
        <v>788</v>
      </c>
      <c r="I14" s="2">
        <v>16</v>
      </c>
      <c r="J14" s="2">
        <v>2375</v>
      </c>
      <c r="K14" s="2">
        <v>324</v>
      </c>
      <c r="L14" s="2">
        <v>175.92592592592592</v>
      </c>
      <c r="M14" s="4">
        <v>-5.7803833964803104E-2</v>
      </c>
      <c r="N14" s="4">
        <v>-9.0079103733664123E-2</v>
      </c>
      <c r="S14" s="2">
        <v>200</v>
      </c>
      <c r="U14" s="4" t="e">
        <v>#NUM!</v>
      </c>
      <c r="V14" s="4" t="e">
        <v>#NUM!</v>
      </c>
      <c r="AD14" s="2" t="s">
        <v>5</v>
      </c>
      <c r="AE14" s="2">
        <v>95.5</v>
      </c>
      <c r="AF14" s="2">
        <v>25</v>
      </c>
      <c r="AG14" s="2">
        <f t="shared" si="3"/>
        <v>96</v>
      </c>
      <c r="AH14" s="4">
        <f t="shared" si="4"/>
        <v>5.2356020942407877E-3</v>
      </c>
    </row>
    <row r="15" spans="1:35">
      <c r="A15" s="2">
        <v>7</v>
      </c>
      <c r="B15" s="2">
        <v>25</v>
      </c>
      <c r="C15" s="2">
        <v>199.5</v>
      </c>
      <c r="D15" s="2">
        <f t="shared" si="0"/>
        <v>191.52</v>
      </c>
      <c r="E15" s="4">
        <f t="shared" si="1"/>
        <v>2.5712434192556755E-2</v>
      </c>
      <c r="F15" s="4">
        <f t="shared" si="2"/>
        <v>-9.4237154886160912E-3</v>
      </c>
      <c r="H15" s="2">
        <v>720</v>
      </c>
      <c r="I15" s="2">
        <v>21</v>
      </c>
      <c r="J15" s="2">
        <v>2450</v>
      </c>
      <c r="K15" s="2">
        <v>390</v>
      </c>
      <c r="L15" s="2">
        <v>150.76923076923077</v>
      </c>
      <c r="M15" s="4">
        <v>-0.19253407114845958</v>
      </c>
      <c r="N15" s="4">
        <v>-0.22019410800948183</v>
      </c>
      <c r="R15" s="2">
        <v>1510</v>
      </c>
      <c r="S15" s="2">
        <v>204</v>
      </c>
      <c r="T15" s="2">
        <v>177.64705882352942</v>
      </c>
      <c r="U15" s="4">
        <v>-4.8586063424025272E-2</v>
      </c>
      <c r="V15" s="4">
        <v>-8.1177091250067709E-2</v>
      </c>
      <c r="AD15" s="2" t="s">
        <v>4</v>
      </c>
      <c r="AE15" s="2">
        <v>95.375</v>
      </c>
      <c r="AF15" s="2">
        <v>25</v>
      </c>
      <c r="AG15" s="2">
        <f t="shared" si="3"/>
        <v>96</v>
      </c>
      <c r="AH15" s="4">
        <f t="shared" si="4"/>
        <v>6.5530799475752577E-3</v>
      </c>
    </row>
    <row r="16" spans="1:35">
      <c r="A16" s="2">
        <v>8</v>
      </c>
      <c r="B16" s="2">
        <v>25.5</v>
      </c>
      <c r="C16" s="2">
        <v>202.75</v>
      </c>
      <c r="D16" s="2">
        <f t="shared" si="0"/>
        <v>190.8235294117647</v>
      </c>
      <c r="E16" s="4">
        <f t="shared" si="1"/>
        <v>2.1982387500815159E-2</v>
      </c>
      <c r="F16" s="4">
        <f t="shared" si="2"/>
        <v>-1.3025988084509943E-2</v>
      </c>
      <c r="H16" s="2">
        <v>755</v>
      </c>
      <c r="I16" s="2">
        <v>26</v>
      </c>
      <c r="J16" s="2">
        <v>1800</v>
      </c>
      <c r="K16" s="2">
        <v>360</v>
      </c>
      <c r="L16" s="2">
        <v>120</v>
      </c>
      <c r="M16" s="4">
        <v>-0.35732303622020251</v>
      </c>
      <c r="N16" s="4">
        <v>-0.37933816759938349</v>
      </c>
      <c r="R16" s="2">
        <v>1600</v>
      </c>
      <c r="S16" s="2">
        <v>224</v>
      </c>
      <c r="T16" s="2">
        <v>171.42857142857142</v>
      </c>
      <c r="U16" s="4">
        <v>-8.1890051743146536E-2</v>
      </c>
      <c r="V16" s="4">
        <v>-0.11334023942769081</v>
      </c>
      <c r="AD16" s="2" t="s">
        <v>3</v>
      </c>
      <c r="AE16" s="2">
        <v>94</v>
      </c>
      <c r="AF16" s="2">
        <v>25.5</v>
      </c>
      <c r="AG16" s="2">
        <f t="shared" si="3"/>
        <v>94.117647058823522</v>
      </c>
      <c r="AH16" s="4">
        <f t="shared" si="4"/>
        <v>1.2515644555692873E-3</v>
      </c>
    </row>
    <row r="17" spans="1:35">
      <c r="A17" s="2">
        <v>9</v>
      </c>
      <c r="B17" s="2">
        <v>26.25</v>
      </c>
      <c r="C17" s="2">
        <v>212</v>
      </c>
      <c r="D17" s="2">
        <f t="shared" si="0"/>
        <v>193.82857142857142</v>
      </c>
      <c r="E17" s="4">
        <f t="shared" si="1"/>
        <v>3.8076314829082358E-2</v>
      </c>
      <c r="F17" s="4">
        <f t="shared" si="2"/>
        <v>2.5166359537576177E-3</v>
      </c>
      <c r="H17" s="2">
        <v>823</v>
      </c>
      <c r="I17" s="2" t="s">
        <v>38</v>
      </c>
      <c r="J17" s="2">
        <v>3200</v>
      </c>
      <c r="R17" s="2">
        <v>1675</v>
      </c>
      <c r="S17" s="2">
        <v>227</v>
      </c>
      <c r="T17" s="2">
        <v>177.09251101321587</v>
      </c>
      <c r="U17" s="4">
        <v>-5.1556022615717338E-2</v>
      </c>
      <c r="V17" s="4">
        <v>-8.404531341759236E-2</v>
      </c>
      <c r="AD17" s="2" t="s">
        <v>2</v>
      </c>
      <c r="AE17" s="2">
        <v>91.5</v>
      </c>
      <c r="AF17" s="2">
        <v>26.25</v>
      </c>
      <c r="AG17" s="2">
        <f t="shared" si="3"/>
        <v>91.428571428571431</v>
      </c>
      <c r="AH17" s="4">
        <f t="shared" si="4"/>
        <v>-7.8064012490242085E-4</v>
      </c>
    </row>
    <row r="18" spans="1:35">
      <c r="A18" s="2">
        <v>10</v>
      </c>
      <c r="B18" s="2">
        <v>26.4</v>
      </c>
      <c r="C18" s="2">
        <v>209</v>
      </c>
      <c r="D18" s="2">
        <f t="shared" si="0"/>
        <v>190</v>
      </c>
      <c r="E18" s="4">
        <f t="shared" si="1"/>
        <v>1.757185931801275E-2</v>
      </c>
      <c r="F18" s="4">
        <f t="shared" si="2"/>
        <v>-1.7285432032357217E-2</v>
      </c>
      <c r="H18" s="2">
        <v>802</v>
      </c>
      <c r="I18" s="2">
        <v>6</v>
      </c>
      <c r="J18" s="2">
        <v>2900</v>
      </c>
      <c r="P18" s="2">
        <v>4</v>
      </c>
      <c r="Q18" s="2" t="s">
        <v>138</v>
      </c>
      <c r="R18" s="2">
        <v>1775</v>
      </c>
      <c r="S18" s="2">
        <v>238</v>
      </c>
      <c r="T18" s="2">
        <v>178.99159663865547</v>
      </c>
      <c r="U18" s="4">
        <v>-4.1385201084755859E-2</v>
      </c>
      <c r="V18" s="4">
        <v>-7.4222897049500608E-2</v>
      </c>
      <c r="AD18" s="2" t="s">
        <v>1</v>
      </c>
      <c r="AE18" s="2">
        <v>91</v>
      </c>
      <c r="AF18" s="2">
        <v>26.4</v>
      </c>
      <c r="AG18" s="2">
        <f t="shared" si="3"/>
        <v>90.909090909090921</v>
      </c>
      <c r="AH18" s="4">
        <f t="shared" si="4"/>
        <v>-9.9900099900085415E-4</v>
      </c>
    </row>
    <row r="19" spans="1:35">
      <c r="A19" s="2">
        <v>11</v>
      </c>
      <c r="B19" s="2">
        <v>26.5</v>
      </c>
      <c r="C19" s="2">
        <v>212</v>
      </c>
      <c r="D19" s="2">
        <f t="shared" si="0"/>
        <v>192</v>
      </c>
      <c r="E19" s="4">
        <f t="shared" si="1"/>
        <v>2.8283142047675902E-2</v>
      </c>
      <c r="F19" s="4">
        <f t="shared" si="2"/>
        <v>-6.9410681590136303E-3</v>
      </c>
      <c r="G19" s="2">
        <v>6</v>
      </c>
      <c r="H19" s="2">
        <v>883</v>
      </c>
      <c r="I19" s="2">
        <v>11</v>
      </c>
      <c r="J19" s="2">
        <v>3150</v>
      </c>
      <c r="K19" s="2">
        <v>417</v>
      </c>
      <c r="L19" s="2">
        <v>181.29496402877697</v>
      </c>
      <c r="M19" s="4">
        <v>-2.9049191411816794E-2</v>
      </c>
      <c r="N19" s="4">
        <v>-6.2309461840795263E-2</v>
      </c>
      <c r="U19" s="4" t="e">
        <v>#NUM!</v>
      </c>
      <c r="V19" s="4" t="e">
        <v>#NUM!</v>
      </c>
      <c r="AD19" s="2" t="s">
        <v>0</v>
      </c>
      <c r="AE19" s="2">
        <v>90.5</v>
      </c>
      <c r="AF19" s="2">
        <v>26.5</v>
      </c>
      <c r="AG19" s="2">
        <f t="shared" si="3"/>
        <v>90.566037735849065</v>
      </c>
      <c r="AH19" s="4">
        <f t="shared" si="4"/>
        <v>7.2969873866379764E-4</v>
      </c>
    </row>
    <row r="20" spans="1:35">
      <c r="A20" s="2">
        <v>12</v>
      </c>
      <c r="B20" s="2">
        <v>26.1</v>
      </c>
      <c r="C20" s="2">
        <v>211.75</v>
      </c>
      <c r="D20" s="2">
        <f t="shared" si="0"/>
        <v>194.7126436781609</v>
      </c>
      <c r="E20" s="4">
        <f t="shared" si="1"/>
        <v>4.2811088738483605E-2</v>
      </c>
      <c r="F20" s="4">
        <f t="shared" si="2"/>
        <v>7.0892184737971764E-3</v>
      </c>
      <c r="H20" s="2">
        <v>1050</v>
      </c>
      <c r="I20" s="2">
        <v>16</v>
      </c>
      <c r="J20" s="2">
        <v>4000</v>
      </c>
      <c r="K20" s="2">
        <v>496</v>
      </c>
      <c r="L20" s="2">
        <v>193.54838709677421</v>
      </c>
      <c r="M20" s="4">
        <v>3.657574803193147E-2</v>
      </c>
      <c r="N20" s="4">
        <v>1.0674716138976189E-3</v>
      </c>
      <c r="R20" s="2">
        <v>1740</v>
      </c>
      <c r="S20" s="2">
        <v>220</v>
      </c>
      <c r="T20" s="2">
        <v>189.81818181818181</v>
      </c>
      <c r="U20" s="4">
        <v>1.6598106342588698E-2</v>
      </c>
      <c r="V20" s="4">
        <v>-1.8225828748115774E-2</v>
      </c>
      <c r="AD20" s="2" t="s">
        <v>18</v>
      </c>
      <c r="AE20" s="2">
        <v>92</v>
      </c>
      <c r="AF20" s="2">
        <v>26.1</v>
      </c>
      <c r="AG20" s="2">
        <f t="shared" si="3"/>
        <v>91.954022988505741</v>
      </c>
      <c r="AH20" s="4">
        <f t="shared" si="4"/>
        <v>-4.9975012493763682E-4</v>
      </c>
    </row>
    <row r="21" spans="1:35">
      <c r="A21" s="2">
        <f>A9+1</f>
        <v>1791</v>
      </c>
      <c r="B21" s="2">
        <v>26.2</v>
      </c>
      <c r="C21" s="2">
        <v>216</v>
      </c>
      <c r="D21" s="2">
        <f t="shared" si="0"/>
        <v>197.86259541984734</v>
      </c>
      <c r="E21" s="4">
        <f t="shared" si="1"/>
        <v>5.9681100583482971E-2</v>
      </c>
      <c r="F21" s="4">
        <f t="shared" si="2"/>
        <v>2.3381341973535585E-2</v>
      </c>
      <c r="H21" s="2">
        <v>1154</v>
      </c>
      <c r="I21" s="2">
        <v>21</v>
      </c>
      <c r="J21" s="2">
        <v>5000</v>
      </c>
      <c r="K21" s="2">
        <v>637</v>
      </c>
      <c r="L21" s="2">
        <v>188.38304552590267</v>
      </c>
      <c r="M21" s="4">
        <v>8.9120310514874193E-3</v>
      </c>
      <c r="N21" s="4">
        <v>-2.5648614755704086E-2</v>
      </c>
      <c r="R21" s="2">
        <v>1625</v>
      </c>
      <c r="S21" s="2">
        <v>206</v>
      </c>
      <c r="T21" s="2">
        <v>189.32038834951456</v>
      </c>
      <c r="U21" s="4">
        <v>1.3932103050651326E-2</v>
      </c>
      <c r="V21" s="4">
        <v>-2.0800507134949745E-2</v>
      </c>
      <c r="AD21" s="2">
        <f>AD9+1</f>
        <v>1791</v>
      </c>
      <c r="AE21" s="2">
        <v>91.75</v>
      </c>
      <c r="AF21" s="2">
        <v>26.2</v>
      </c>
      <c r="AG21" s="2">
        <f t="shared" si="3"/>
        <v>91.603053435114504</v>
      </c>
      <c r="AH21" s="4">
        <f t="shared" si="4"/>
        <v>-1.6015974374441466E-3</v>
      </c>
      <c r="AI21" s="4">
        <f>AVERAGEA(AH21:AH32)</f>
        <v>-3.4697984139640353E-4</v>
      </c>
    </row>
    <row r="22" spans="1:35">
      <c r="A22" s="2">
        <v>2</v>
      </c>
      <c r="B22" s="2">
        <v>26.25</v>
      </c>
      <c r="C22" s="2">
        <v>214</v>
      </c>
      <c r="D22" s="2">
        <f t="shared" si="0"/>
        <v>195.65714285714284</v>
      </c>
      <c r="E22" s="4">
        <f t="shared" si="1"/>
        <v>4.7869487610488815E-2</v>
      </c>
      <c r="F22" s="4">
        <f t="shared" si="2"/>
        <v>1.1974340066528866E-2</v>
      </c>
      <c r="H22" s="2">
        <v>1200</v>
      </c>
      <c r="I22" s="2">
        <v>26</v>
      </c>
      <c r="J22" s="2">
        <v>5800</v>
      </c>
      <c r="K22" s="2">
        <v>853</v>
      </c>
      <c r="L22" s="2">
        <v>163.18874560375147</v>
      </c>
      <c r="M22" s="4">
        <v>-0.12601960376956026</v>
      </c>
      <c r="N22" s="4">
        <v>-0.15595811772014637</v>
      </c>
      <c r="R22" s="2">
        <v>1515</v>
      </c>
      <c r="S22" s="2">
        <v>185</v>
      </c>
      <c r="T22" s="2">
        <v>196.54054054054055</v>
      </c>
      <c r="U22" s="4">
        <v>5.2600648785289944E-2</v>
      </c>
      <c r="V22" s="4">
        <v>1.654343360749622E-2</v>
      </c>
      <c r="AD22" s="2" t="s">
        <v>15</v>
      </c>
      <c r="AE22" s="2">
        <v>91.625</v>
      </c>
      <c r="AF22" s="2">
        <v>26.25</v>
      </c>
      <c r="AG22" s="2">
        <f t="shared" si="3"/>
        <v>91.428571428571431</v>
      </c>
      <c r="AH22" s="4">
        <f t="shared" si="4"/>
        <v>-2.1438316117715628E-3</v>
      </c>
    </row>
    <row r="23" spans="1:35">
      <c r="A23" s="2">
        <v>3</v>
      </c>
      <c r="B23" s="2">
        <v>26.5</v>
      </c>
      <c r="C23" s="2">
        <v>215</v>
      </c>
      <c r="D23" s="2">
        <f t="shared" si="0"/>
        <v>194.71698113207546</v>
      </c>
      <c r="E23" s="4">
        <f t="shared" si="1"/>
        <v>4.2834318586086439E-2</v>
      </c>
      <c r="F23" s="4">
        <f t="shared" si="2"/>
        <v>7.1116525745851256E-3</v>
      </c>
      <c r="H23" s="2">
        <v>1240</v>
      </c>
      <c r="I23" s="2" t="s">
        <v>37</v>
      </c>
      <c r="J23" s="2">
        <v>7800</v>
      </c>
      <c r="K23" s="2">
        <v>893</v>
      </c>
      <c r="L23" s="2">
        <v>209.63045912653976</v>
      </c>
      <c r="M23" s="4">
        <v>0.12270555822674591</v>
      </c>
      <c r="N23" s="4">
        <v>8.4246874070505878E-2</v>
      </c>
      <c r="R23" s="2">
        <v>1425</v>
      </c>
      <c r="S23" s="2">
        <v>180</v>
      </c>
      <c r="T23" s="2">
        <v>190</v>
      </c>
      <c r="U23" s="4">
        <v>1.757185931801266E-2</v>
      </c>
      <c r="V23" s="4">
        <v>-1.7285432032357235E-2</v>
      </c>
      <c r="AD23" s="2" t="s">
        <v>13</v>
      </c>
      <c r="AE23" s="2">
        <v>90.5</v>
      </c>
      <c r="AF23" s="2">
        <v>26.5</v>
      </c>
      <c r="AG23" s="2">
        <f t="shared" si="3"/>
        <v>90.566037735849065</v>
      </c>
      <c r="AH23" s="4">
        <f t="shared" si="4"/>
        <v>7.2969873866379764E-4</v>
      </c>
    </row>
    <row r="24" spans="1:35">
      <c r="A24" s="2">
        <v>4</v>
      </c>
      <c r="B24" s="2">
        <v>26.75</v>
      </c>
      <c r="C24" s="2">
        <v>219.375</v>
      </c>
      <c r="D24" s="2">
        <f t="shared" si="0"/>
        <v>196.82242990654206</v>
      </c>
      <c r="E24" s="4">
        <f t="shared" si="1"/>
        <v>5.4110347134153747E-2</v>
      </c>
      <c r="F24" s="4">
        <f t="shared" si="2"/>
        <v>1.8001416694469086E-2</v>
      </c>
      <c r="H24" s="2">
        <v>1380</v>
      </c>
      <c r="I24" s="2">
        <v>6</v>
      </c>
      <c r="J24" s="2">
        <v>8700</v>
      </c>
      <c r="K24" s="2">
        <v>723</v>
      </c>
      <c r="L24" s="2">
        <v>288.79668049792531</v>
      </c>
      <c r="M24" s="4">
        <v>0.54669144810075743</v>
      </c>
      <c r="N24" s="4">
        <v>0.49370897424214755</v>
      </c>
      <c r="R24" s="2">
        <v>1450</v>
      </c>
      <c r="S24" s="2">
        <v>185</v>
      </c>
      <c r="T24" s="2">
        <v>188.1081081081081</v>
      </c>
      <c r="U24" s="4">
        <v>7.4395648440067916E-3</v>
      </c>
      <c r="V24" s="4">
        <v>-2.7070641101736376E-2</v>
      </c>
      <c r="AD24" s="2" t="s">
        <v>11</v>
      </c>
      <c r="AE24" s="2">
        <v>89.75</v>
      </c>
      <c r="AF24" s="2">
        <v>26.75</v>
      </c>
      <c r="AG24" s="2">
        <f t="shared" si="3"/>
        <v>89.719626168224295</v>
      </c>
      <c r="AH24" s="4">
        <f t="shared" si="4"/>
        <v>-3.3842709499387613E-4</v>
      </c>
    </row>
    <row r="25" spans="1:35">
      <c r="A25" s="2">
        <v>5</v>
      </c>
      <c r="B25" s="2">
        <v>28.25</v>
      </c>
      <c r="C25" s="2">
        <v>236.5</v>
      </c>
      <c r="D25" s="2">
        <f t="shared" si="0"/>
        <v>200.9203539823009</v>
      </c>
      <c r="E25" s="4">
        <f t="shared" si="1"/>
        <v>7.6057358824227261E-2</v>
      </c>
      <c r="F25" s="4">
        <f t="shared" si="2"/>
        <v>3.9196625576961353E-2</v>
      </c>
      <c r="G25" s="2">
        <v>7</v>
      </c>
      <c r="H25" s="2">
        <v>1685</v>
      </c>
      <c r="I25" s="2">
        <v>11</v>
      </c>
      <c r="J25" s="2">
        <v>7000</v>
      </c>
      <c r="K25" s="2">
        <v>788</v>
      </c>
      <c r="L25" s="2">
        <v>213.1979695431472</v>
      </c>
      <c r="M25" s="4">
        <v>0.14181186458339645</v>
      </c>
      <c r="N25" s="4">
        <v>0.10269868700617135</v>
      </c>
      <c r="R25" s="2">
        <v>1625</v>
      </c>
      <c r="S25" s="2">
        <v>221</v>
      </c>
      <c r="T25" s="2">
        <v>176.47058823529412</v>
      </c>
      <c r="U25" s="4">
        <v>-5.4886817970886084E-2</v>
      </c>
      <c r="V25" s="4">
        <v>-8.7262011175564008E-2</v>
      </c>
      <c r="AD25" s="2" t="s">
        <v>146</v>
      </c>
      <c r="AE25" s="2">
        <v>85</v>
      </c>
      <c r="AF25" s="2">
        <v>28.25</v>
      </c>
      <c r="AG25" s="2">
        <f t="shared" si="3"/>
        <v>84.955752212389385</v>
      </c>
      <c r="AH25" s="4">
        <f t="shared" si="4"/>
        <v>-5.2056220718366131E-4</v>
      </c>
    </row>
    <row r="26" spans="1:35">
      <c r="A26" s="2">
        <v>6</v>
      </c>
      <c r="B26" s="2">
        <v>28</v>
      </c>
      <c r="C26" s="2">
        <v>236.75</v>
      </c>
      <c r="D26" s="2">
        <f t="shared" si="0"/>
        <v>202.92857142857142</v>
      </c>
      <c r="E26" s="4">
        <f t="shared" si="1"/>
        <v>8.6812651249050354E-2</v>
      </c>
      <c r="F26" s="4">
        <f t="shared" si="2"/>
        <v>4.9583491577471106E-2</v>
      </c>
      <c r="H26" s="2">
        <v>2588</v>
      </c>
      <c r="I26" s="2">
        <v>16</v>
      </c>
      <c r="J26" s="2">
        <v>5000</v>
      </c>
      <c r="K26" s="2">
        <v>700</v>
      </c>
      <c r="L26" s="2">
        <v>171.42857142857142</v>
      </c>
      <c r="M26" s="4">
        <v>-8.1890051743146536E-2</v>
      </c>
      <c r="N26" s="4">
        <v>-0.11334023942769081</v>
      </c>
      <c r="R26" s="2">
        <v>1637</v>
      </c>
      <c r="S26" s="2">
        <v>198</v>
      </c>
      <c r="T26" s="2">
        <v>198.42424242424244</v>
      </c>
      <c r="U26" s="4">
        <v>6.2689080512655079E-2</v>
      </c>
      <c r="V26" s="4">
        <v>2.6286282464453782E-2</v>
      </c>
      <c r="AD26" s="2" t="s">
        <v>5</v>
      </c>
      <c r="AE26" s="2">
        <v>85.5</v>
      </c>
      <c r="AF26" s="2">
        <v>28</v>
      </c>
      <c r="AG26" s="2">
        <f t="shared" si="3"/>
        <v>85.714285714285708</v>
      </c>
      <c r="AH26" s="4">
        <f t="shared" si="4"/>
        <v>2.5062656641603454E-3</v>
      </c>
    </row>
    <row r="27" spans="1:35">
      <c r="A27" s="2">
        <v>7</v>
      </c>
      <c r="B27" s="2">
        <v>29.25</v>
      </c>
      <c r="C27" s="2">
        <v>231</v>
      </c>
      <c r="D27" s="2">
        <f t="shared" si="0"/>
        <v>189.53846153846155</v>
      </c>
      <c r="E27" s="4">
        <f t="shared" si="1"/>
        <v>1.5100024841936621E-2</v>
      </c>
      <c r="F27" s="4">
        <f t="shared" si="2"/>
        <v>-1.9672592926205712E-2</v>
      </c>
      <c r="H27" s="2">
        <v>3212</v>
      </c>
      <c r="I27" s="2">
        <v>21</v>
      </c>
      <c r="J27" s="2">
        <v>5900</v>
      </c>
      <c r="K27" s="2">
        <v>720</v>
      </c>
      <c r="L27" s="2">
        <v>196.66666666666666</v>
      </c>
      <c r="M27" s="4">
        <v>5.3276135083556914E-2</v>
      </c>
      <c r="N27" s="4">
        <v>1.7195780878788074E-2</v>
      </c>
      <c r="R27" s="2">
        <v>1475</v>
      </c>
      <c r="S27" s="2">
        <v>191</v>
      </c>
      <c r="T27" s="2">
        <v>185.34031413612564</v>
      </c>
      <c r="U27" s="4">
        <v>-7.3837470416741333E-3</v>
      </c>
      <c r="V27" s="4">
        <v>-4.1386175088053145E-2</v>
      </c>
      <c r="AD27" s="2" t="s">
        <v>4</v>
      </c>
      <c r="AE27" s="2">
        <v>82.25</v>
      </c>
      <c r="AF27" s="2">
        <v>29.25</v>
      </c>
      <c r="AG27" s="2">
        <f t="shared" si="3"/>
        <v>82.051282051282044</v>
      </c>
      <c r="AH27" s="4">
        <f t="shared" si="4"/>
        <v>-2.4160236926195067E-3</v>
      </c>
    </row>
    <row r="28" spans="1:35">
      <c r="A28" s="2">
        <v>8</v>
      </c>
      <c r="B28" s="2">
        <v>29.75</v>
      </c>
      <c r="C28" s="2">
        <v>236.5</v>
      </c>
      <c r="D28" s="2">
        <f t="shared" si="0"/>
        <v>190.78991596638656</v>
      </c>
      <c r="E28" s="4">
        <f t="shared" si="1"/>
        <v>2.1802365942333424E-2</v>
      </c>
      <c r="F28" s="4">
        <f t="shared" si="2"/>
        <v>-1.3199842939524031E-2</v>
      </c>
      <c r="H28" s="2">
        <v>3401</v>
      </c>
      <c r="I28" s="2">
        <v>26</v>
      </c>
      <c r="J28" s="2">
        <v>5450</v>
      </c>
      <c r="K28" s="2">
        <v>685</v>
      </c>
      <c r="L28" s="2">
        <v>190.94890510948906</v>
      </c>
      <c r="M28" s="4">
        <v>2.2653854773692379E-2</v>
      </c>
      <c r="N28" s="4">
        <v>-1.2377522165442334E-2</v>
      </c>
      <c r="R28" s="2">
        <v>1575</v>
      </c>
      <c r="S28" s="2">
        <v>205</v>
      </c>
      <c r="T28" s="2">
        <v>184.39024390243901</v>
      </c>
      <c r="U28" s="4">
        <v>-1.2471982484701523E-2</v>
      </c>
      <c r="V28" s="4">
        <v>-4.6300111189296694E-2</v>
      </c>
      <c r="AD28" s="2" t="s">
        <v>3</v>
      </c>
      <c r="AE28" s="2">
        <v>80.75</v>
      </c>
      <c r="AF28" s="2">
        <v>29.75</v>
      </c>
      <c r="AG28" s="2">
        <f t="shared" si="3"/>
        <v>80.672268907563023</v>
      </c>
      <c r="AH28" s="4">
        <f t="shared" si="4"/>
        <v>-9.6261414782639054E-4</v>
      </c>
    </row>
    <row r="29" spans="1:35">
      <c r="A29" s="2">
        <v>9</v>
      </c>
      <c r="B29" s="2">
        <v>29.5</v>
      </c>
      <c r="C29" s="2">
        <v>234.5</v>
      </c>
      <c r="D29" s="2">
        <f t="shared" si="0"/>
        <v>190.77966101694915</v>
      </c>
      <c r="E29" s="4">
        <f t="shared" si="1"/>
        <v>2.1747444110932213E-2</v>
      </c>
      <c r="F29" s="4">
        <f t="shared" si="2"/>
        <v>-1.3252883403765625E-2</v>
      </c>
      <c r="H29" s="2">
        <v>3575</v>
      </c>
      <c r="I29" s="2" t="s">
        <v>36</v>
      </c>
      <c r="J29" s="2">
        <v>6100</v>
      </c>
      <c r="K29" s="2">
        <v>755</v>
      </c>
      <c r="L29" s="2">
        <v>193.90728476821192</v>
      </c>
      <c r="M29" s="4">
        <v>3.8497875246825068E-2</v>
      </c>
      <c r="N29" s="4">
        <v>2.9237556672213495E-3</v>
      </c>
      <c r="R29" s="2">
        <v>1612</v>
      </c>
      <c r="S29" s="2">
        <v>212</v>
      </c>
      <c r="T29" s="2">
        <v>182.49056603773585</v>
      </c>
      <c r="U29" s="4">
        <v>-2.2645975836760847E-2</v>
      </c>
      <c r="V29" s="4">
        <v>-5.6125590726609671E-2</v>
      </c>
      <c r="AD29" s="2" t="s">
        <v>2</v>
      </c>
      <c r="AE29" s="2">
        <v>81.25</v>
      </c>
      <c r="AF29" s="2">
        <v>29.5</v>
      </c>
      <c r="AG29" s="2">
        <f t="shared" si="3"/>
        <v>81.355932203389841</v>
      </c>
      <c r="AH29" s="4">
        <f t="shared" si="4"/>
        <v>1.3037809647979959E-3</v>
      </c>
    </row>
    <row r="30" spans="1:35">
      <c r="A30" s="2">
        <v>10</v>
      </c>
      <c r="B30" s="2">
        <v>29.25</v>
      </c>
      <c r="C30" s="2">
        <v>235.5</v>
      </c>
      <c r="D30" s="2">
        <f t="shared" si="0"/>
        <v>193.23076923076923</v>
      </c>
      <c r="E30" s="4">
        <f t="shared" si="1"/>
        <v>3.4874700650545654E-2</v>
      </c>
      <c r="F30" s="4">
        <f t="shared" si="2"/>
        <v>-5.7530577541753392E-4</v>
      </c>
      <c r="H30" s="2">
        <v>3290</v>
      </c>
      <c r="I30" s="2">
        <v>6</v>
      </c>
      <c r="J30" s="2">
        <v>6550</v>
      </c>
      <c r="K30" s="2">
        <v>820</v>
      </c>
      <c r="L30" s="2">
        <v>191.70731707317074</v>
      </c>
      <c r="M30" s="4">
        <v>2.6715637257969185E-2</v>
      </c>
      <c r="N30" s="4">
        <v>-8.4548775063321511E-3</v>
      </c>
      <c r="R30" s="2">
        <v>1550</v>
      </c>
      <c r="S30" s="2">
        <v>204</v>
      </c>
      <c r="T30" s="2">
        <v>182.35294117647058</v>
      </c>
      <c r="U30" s="4">
        <v>-2.3383045236582321E-2</v>
      </c>
      <c r="V30" s="4">
        <v>-5.683741154808284E-2</v>
      </c>
      <c r="AD30" s="2" t="s">
        <v>1</v>
      </c>
      <c r="AE30" s="2">
        <v>82</v>
      </c>
      <c r="AF30" s="2">
        <v>29.25</v>
      </c>
      <c r="AG30" s="2">
        <f t="shared" si="3"/>
        <v>82.051282051282044</v>
      </c>
      <c r="AH30" s="4">
        <f t="shared" si="4"/>
        <v>6.2539086929325194E-4</v>
      </c>
    </row>
    <row r="31" spans="1:35">
      <c r="A31" s="2">
        <v>11</v>
      </c>
      <c r="B31" s="2">
        <v>31.25</v>
      </c>
      <c r="C31" s="2">
        <v>248</v>
      </c>
      <c r="D31" s="2">
        <f t="shared" si="0"/>
        <v>190.464</v>
      </c>
      <c r="E31" s="4">
        <f t="shared" si="1"/>
        <v>2.0056876911294541E-2</v>
      </c>
      <c r="F31" s="4">
        <f t="shared" si="2"/>
        <v>-1.4885539613741505E-2</v>
      </c>
      <c r="G31" s="2">
        <v>8</v>
      </c>
      <c r="H31" s="2">
        <v>5485</v>
      </c>
      <c r="I31" s="2">
        <v>11</v>
      </c>
      <c r="J31" s="2">
        <v>6400</v>
      </c>
      <c r="K31" s="2">
        <v>823</v>
      </c>
      <c r="L31" s="2">
        <v>186.63426488456867</v>
      </c>
      <c r="M31" s="4">
        <v>-4.5381088925780842E-4</v>
      </c>
      <c r="N31" s="4">
        <v>-3.4693626400013174E-2</v>
      </c>
      <c r="R31" s="2">
        <v>1535</v>
      </c>
      <c r="S31" s="2">
        <v>198</v>
      </c>
      <c r="T31" s="2">
        <v>186.06060606060606</v>
      </c>
      <c r="U31" s="4">
        <v>-3.5261218161726005E-3</v>
      </c>
      <c r="V31" s="4">
        <v>-3.7660694207124937E-2</v>
      </c>
      <c r="AD31" s="2" t="s">
        <v>0</v>
      </c>
      <c r="AE31" s="2">
        <v>77</v>
      </c>
      <c r="AF31" s="2">
        <v>31.25</v>
      </c>
      <c r="AG31" s="2">
        <f t="shared" si="3"/>
        <v>76.8</v>
      </c>
      <c r="AH31" s="4">
        <f t="shared" si="4"/>
        <v>-2.5974025974025983E-3</v>
      </c>
    </row>
    <row r="32" spans="1:35">
      <c r="A32" s="2">
        <v>12</v>
      </c>
      <c r="B32" s="2">
        <v>35.25</v>
      </c>
      <c r="C32" s="2">
        <v>273</v>
      </c>
      <c r="D32" s="2">
        <f t="shared" si="0"/>
        <v>185.87234042553192</v>
      </c>
      <c r="E32" s="4">
        <f t="shared" si="1"/>
        <v>-4.5344050389519719E-3</v>
      </c>
      <c r="F32" s="4">
        <f t="shared" si="2"/>
        <v>-3.8634438324151477E-2</v>
      </c>
      <c r="H32" s="2">
        <v>4658</v>
      </c>
      <c r="I32" s="2">
        <v>16</v>
      </c>
      <c r="J32" s="2">
        <v>6350</v>
      </c>
      <c r="K32" s="2">
        <v>804</v>
      </c>
      <c r="L32" s="2">
        <v>189.55223880597015</v>
      </c>
      <c r="M32" s="4">
        <v>1.517381094569998E-2</v>
      </c>
      <c r="N32" s="4">
        <v>-1.9601334392061034E-2</v>
      </c>
      <c r="R32" s="2">
        <v>1590</v>
      </c>
      <c r="S32" s="2">
        <v>217</v>
      </c>
      <c r="T32" s="2">
        <v>175.85253456221199</v>
      </c>
      <c r="U32" s="4">
        <v>-5.8196891788130874E-2</v>
      </c>
      <c r="V32" s="4">
        <v>-9.0458697219373066E-2</v>
      </c>
      <c r="AD32" s="2" t="s">
        <v>18</v>
      </c>
      <c r="AE32" s="2">
        <v>68</v>
      </c>
      <c r="AF32" s="2">
        <v>35.25</v>
      </c>
      <c r="AG32" s="2">
        <f t="shared" si="3"/>
        <v>68.085106382978722</v>
      </c>
      <c r="AH32" s="4">
        <f t="shared" si="4"/>
        <v>1.2515644555695093E-3</v>
      </c>
    </row>
    <row r="33" spans="1:35">
      <c r="A33" s="2">
        <f>A21+1</f>
        <v>1792</v>
      </c>
      <c r="B33" s="2">
        <v>38</v>
      </c>
      <c r="C33" s="2">
        <v>316.5</v>
      </c>
      <c r="D33" s="2">
        <f t="shared" si="0"/>
        <v>199.89473684210526</v>
      </c>
      <c r="E33" s="4">
        <f t="shared" si="1"/>
        <v>7.056452124371515E-2</v>
      </c>
      <c r="F33" s="4">
        <f t="shared" si="2"/>
        <v>3.3891947130500588E-2</v>
      </c>
      <c r="H33" s="2">
        <v>5559</v>
      </c>
      <c r="I33" s="2">
        <v>21</v>
      </c>
      <c r="J33" s="2">
        <v>6250</v>
      </c>
      <c r="K33" s="2">
        <v>802</v>
      </c>
      <c r="L33" s="2">
        <v>187.03241895261846</v>
      </c>
      <c r="M33" s="4">
        <v>1.6785595071656487E-3</v>
      </c>
      <c r="N33" s="4">
        <v>-3.2634301121233646E-2</v>
      </c>
      <c r="R33" s="2">
        <v>1600</v>
      </c>
      <c r="S33" s="2">
        <v>217</v>
      </c>
      <c r="T33" s="2">
        <v>176.95852534562212</v>
      </c>
      <c r="U33" s="4">
        <v>-5.2273601799376998E-2</v>
      </c>
      <c r="V33" s="4">
        <v>-8.4738311667293661E-2</v>
      </c>
      <c r="AD33" s="2">
        <f>AD21+1</f>
        <v>1792</v>
      </c>
      <c r="AE33" s="2">
        <v>63</v>
      </c>
      <c r="AF33" s="2">
        <v>38</v>
      </c>
      <c r="AG33" s="2">
        <f t="shared" si="3"/>
        <v>63.157894736842103</v>
      </c>
      <c r="AH33" s="4">
        <f t="shared" si="4"/>
        <v>2.5062656641603454E-3</v>
      </c>
      <c r="AI33" s="4">
        <f>AVERAGEA(AH33:AH44)</f>
        <v>-3.2457031203629583E-3</v>
      </c>
    </row>
    <row r="34" spans="1:35">
      <c r="A34" s="2">
        <v>2</v>
      </c>
      <c r="B34" s="2">
        <v>45.25</v>
      </c>
      <c r="C34" s="2">
        <v>355</v>
      </c>
      <c r="D34" s="2">
        <f t="shared" si="0"/>
        <v>188.28729281767957</v>
      </c>
      <c r="E34" s="4">
        <f t="shared" si="1"/>
        <v>8.3992138865331967E-3</v>
      </c>
      <c r="F34" s="4">
        <f t="shared" si="2"/>
        <v>-2.6143865183563042E-2</v>
      </c>
      <c r="H34" s="2">
        <v>5525</v>
      </c>
      <c r="I34" s="2">
        <v>26</v>
      </c>
      <c r="J34" s="2">
        <v>6400</v>
      </c>
      <c r="K34" s="2">
        <v>832</v>
      </c>
      <c r="L34" s="2">
        <v>184.61538461538461</v>
      </c>
      <c r="M34" s="4">
        <v>-1.1266209569542366E-2</v>
      </c>
      <c r="N34" s="4">
        <v>-4.5135642460590035E-2</v>
      </c>
      <c r="R34" s="2">
        <v>1615</v>
      </c>
      <c r="S34" s="2">
        <v>218</v>
      </c>
      <c r="T34" s="2">
        <v>177.79816513761469</v>
      </c>
      <c r="U34" s="4">
        <v>-4.7776792197822965E-2</v>
      </c>
      <c r="V34" s="4">
        <v>-8.0395541901838827E-2</v>
      </c>
      <c r="AD34" s="2" t="s">
        <v>15</v>
      </c>
      <c r="AE34" s="2">
        <v>53</v>
      </c>
      <c r="AF34" s="2">
        <v>45.25</v>
      </c>
      <c r="AG34" s="2">
        <f t="shared" si="3"/>
        <v>53.038674033149171</v>
      </c>
      <c r="AH34" s="4">
        <f t="shared" si="4"/>
        <v>7.296987386635756E-4</v>
      </c>
    </row>
    <row r="35" spans="1:35">
      <c r="A35" s="2">
        <v>3</v>
      </c>
      <c r="B35" s="2">
        <v>44.5</v>
      </c>
      <c r="C35" s="2">
        <v>300</v>
      </c>
      <c r="D35" s="2">
        <f t="shared" si="0"/>
        <v>161.79775280898878</v>
      </c>
      <c r="E35" s="4">
        <f t="shared" si="1"/>
        <v>-0.13346926231937417</v>
      </c>
      <c r="F35" s="4">
        <f t="shared" si="2"/>
        <v>-0.16315258552725864</v>
      </c>
      <c r="H35" s="2">
        <v>5243</v>
      </c>
      <c r="I35" s="2" t="s">
        <v>35</v>
      </c>
      <c r="J35" s="2">
        <v>6750</v>
      </c>
      <c r="K35" s="2">
        <v>883</v>
      </c>
      <c r="L35" s="2">
        <v>183.46545866364667</v>
      </c>
      <c r="M35" s="4">
        <v>-1.7424800563163482E-2</v>
      </c>
      <c r="N35" s="4">
        <v>-5.1083268696679153E-2</v>
      </c>
      <c r="Q35" s="2" t="s">
        <v>115</v>
      </c>
      <c r="R35" s="2">
        <v>1685</v>
      </c>
      <c r="S35" s="2">
        <v>229</v>
      </c>
      <c r="T35" s="2">
        <v>176.5938864628821</v>
      </c>
      <c r="U35" s="4">
        <v>-5.422647688300547E-2</v>
      </c>
      <c r="V35" s="4">
        <v>-8.6624290310009802E-2</v>
      </c>
      <c r="AD35" s="2" t="s">
        <v>13</v>
      </c>
      <c r="AE35" s="2">
        <v>54</v>
      </c>
      <c r="AF35" s="2">
        <v>44.5</v>
      </c>
      <c r="AG35" s="2">
        <f t="shared" si="3"/>
        <v>53.932584269662918</v>
      </c>
      <c r="AH35" s="4">
        <f t="shared" si="4"/>
        <v>-1.2484394506867558E-3</v>
      </c>
    </row>
    <row r="36" spans="1:35">
      <c r="A36" s="2">
        <v>4</v>
      </c>
      <c r="B36" s="2">
        <v>40.75</v>
      </c>
      <c r="C36" s="2">
        <v>310</v>
      </c>
      <c r="D36" s="2">
        <f t="shared" si="0"/>
        <v>182.57668711656441</v>
      </c>
      <c r="E36" s="4">
        <f t="shared" si="1"/>
        <v>-2.2184742224602649E-2</v>
      </c>
      <c r="F36" s="4">
        <f t="shared" si="2"/>
        <v>-5.5680156838325834E-2</v>
      </c>
      <c r="H36" s="2">
        <v>6119</v>
      </c>
      <c r="I36" s="2">
        <v>6</v>
      </c>
      <c r="J36" s="2">
        <v>6950</v>
      </c>
      <c r="K36" s="2">
        <v>915</v>
      </c>
      <c r="L36" s="2">
        <v>182.29508196721312</v>
      </c>
      <c r="M36" s="4">
        <v>-2.3692918411018015E-2</v>
      </c>
      <c r="N36" s="4">
        <v>-5.7136669905074378E-2</v>
      </c>
      <c r="R36" s="2">
        <v>1730</v>
      </c>
      <c r="S36" s="2">
        <v>238</v>
      </c>
      <c r="T36" s="2">
        <v>174.45378151260505</v>
      </c>
      <c r="U36" s="4">
        <v>-6.5688111479790201E-2</v>
      </c>
      <c r="V36" s="4">
        <v>-9.7693302476414667E-2</v>
      </c>
      <c r="AD36" s="2" t="s">
        <v>11</v>
      </c>
      <c r="AE36" s="2">
        <v>59</v>
      </c>
      <c r="AF36" s="2">
        <v>40.75</v>
      </c>
      <c r="AG36" s="2">
        <f t="shared" ref="AG36:AG67" si="5">24/AF36*100</f>
        <v>58.895705521472394</v>
      </c>
      <c r="AH36" s="4">
        <f t="shared" ref="AH36:AH67" si="6">AG36/AE36-1</f>
        <v>-1.767703025891687E-3</v>
      </c>
    </row>
    <row r="37" spans="1:35">
      <c r="A37" s="2">
        <v>5</v>
      </c>
      <c r="B37" s="2">
        <v>43.25</v>
      </c>
      <c r="C37" s="2">
        <v>338</v>
      </c>
      <c r="D37" s="2">
        <f t="shared" si="0"/>
        <v>187.56069364161849</v>
      </c>
      <c r="E37" s="4">
        <f t="shared" si="1"/>
        <v>4.5078092835677541E-3</v>
      </c>
      <c r="F37" s="4">
        <f t="shared" si="2"/>
        <v>-2.9901968317186833E-2</v>
      </c>
      <c r="G37" s="2">
        <v>9</v>
      </c>
      <c r="H37" s="2">
        <v>7011</v>
      </c>
      <c r="I37" s="2">
        <v>11</v>
      </c>
      <c r="J37" s="2">
        <v>7400</v>
      </c>
      <c r="K37" s="2">
        <v>1050</v>
      </c>
      <c r="L37" s="2">
        <v>169.14285714285714</v>
      </c>
      <c r="M37" s="4">
        <v>-9.4131517719904537E-2</v>
      </c>
      <c r="N37" s="4">
        <v>-0.1251623695686549</v>
      </c>
      <c r="R37" s="2">
        <v>1750</v>
      </c>
      <c r="S37" s="2">
        <v>239</v>
      </c>
      <c r="T37" s="2">
        <v>175.73221757322176</v>
      </c>
      <c r="U37" s="4">
        <v>-5.8841266431258921E-2</v>
      </c>
      <c r="V37" s="4">
        <v>-9.108099857650305E-2</v>
      </c>
      <c r="AD37" s="2" t="s">
        <v>146</v>
      </c>
      <c r="AE37" s="2">
        <v>55.5</v>
      </c>
      <c r="AF37" s="2">
        <v>43.25</v>
      </c>
      <c r="AG37" s="2">
        <f t="shared" si="5"/>
        <v>55.49132947976878</v>
      </c>
      <c r="AH37" s="4">
        <f t="shared" si="6"/>
        <v>-1.5622558975170175E-4</v>
      </c>
    </row>
    <row r="38" spans="1:35">
      <c r="A38" s="2">
        <v>6</v>
      </c>
      <c r="B38" s="2">
        <v>40</v>
      </c>
      <c r="C38" s="2">
        <v>300</v>
      </c>
      <c r="D38" s="2">
        <f t="shared" si="0"/>
        <v>180</v>
      </c>
      <c r="E38" s="4">
        <f t="shared" si="1"/>
        <v>-3.5984554330303786E-2</v>
      </c>
      <c r="F38" s="4">
        <f t="shared" si="2"/>
        <v>-6.9007251399075265E-2</v>
      </c>
      <c r="I38" s="2">
        <v>16</v>
      </c>
      <c r="J38" s="2">
        <v>7800</v>
      </c>
      <c r="K38" s="2">
        <v>1090</v>
      </c>
      <c r="L38" s="2">
        <v>171.74311926605503</v>
      </c>
      <c r="M38" s="4">
        <v>-8.0205446333500935E-2</v>
      </c>
      <c r="N38" s="4">
        <v>-0.11171334078443887</v>
      </c>
      <c r="R38" s="2">
        <v>1760</v>
      </c>
      <c r="S38" s="2">
        <v>242</v>
      </c>
      <c r="T38" s="2">
        <v>174.54545454545453</v>
      </c>
      <c r="U38" s="4">
        <v>-6.5197143593021936E-2</v>
      </c>
      <c r="V38" s="4">
        <v>-9.7219152871830639E-2</v>
      </c>
      <c r="AD38" s="2" t="s">
        <v>5</v>
      </c>
      <c r="AE38" s="2">
        <v>60</v>
      </c>
      <c r="AF38" s="2">
        <v>40</v>
      </c>
      <c r="AG38" s="2">
        <f t="shared" si="5"/>
        <v>60</v>
      </c>
      <c r="AH38" s="4">
        <f t="shared" si="6"/>
        <v>0</v>
      </c>
    </row>
    <row r="39" spans="1:35">
      <c r="A39" s="2">
        <v>7</v>
      </c>
      <c r="B39" s="2">
        <v>40</v>
      </c>
      <c r="C39" s="2">
        <v>316</v>
      </c>
      <c r="D39" s="2">
        <f t="shared" si="0"/>
        <v>189.6</v>
      </c>
      <c r="E39" s="4">
        <f t="shared" si="1"/>
        <v>1.5429602772079942E-2</v>
      </c>
      <c r="F39" s="4">
        <f t="shared" si="2"/>
        <v>-1.9354304807025935E-2</v>
      </c>
      <c r="I39" s="2">
        <v>21</v>
      </c>
      <c r="J39" s="2">
        <v>8050</v>
      </c>
      <c r="K39" s="2">
        <v>1154</v>
      </c>
      <c r="L39" s="2">
        <v>167.41767764298095</v>
      </c>
      <c r="M39" s="4">
        <v>-0.10337096041120104</v>
      </c>
      <c r="N39" s="4">
        <v>-0.13408531181543101</v>
      </c>
      <c r="R39" s="2">
        <v>1780</v>
      </c>
      <c r="S39" s="2">
        <v>238</v>
      </c>
      <c r="T39" s="2">
        <v>179.49579831932772</v>
      </c>
      <c r="U39" s="4">
        <v>-3.8684877707529902E-2</v>
      </c>
      <c r="V39" s="4">
        <v>-7.1615074224288019E-2</v>
      </c>
      <c r="W39" s="2">
        <v>430</v>
      </c>
      <c r="Y39" s="2">
        <f>32*24/22/W39*S39</f>
        <v>19.321775898520084</v>
      </c>
      <c r="AA39" s="2">
        <f>S39/W39*31.1526</f>
        <v>17.242601860465115</v>
      </c>
      <c r="AD39" s="2" t="s">
        <v>4</v>
      </c>
      <c r="AE39" s="2">
        <v>60</v>
      </c>
      <c r="AF39" s="2">
        <v>40</v>
      </c>
      <c r="AG39" s="2">
        <f t="shared" si="5"/>
        <v>60</v>
      </c>
      <c r="AH39" s="4">
        <f t="shared" si="6"/>
        <v>0</v>
      </c>
    </row>
    <row r="40" spans="1:35">
      <c r="A40" s="2">
        <v>8</v>
      </c>
      <c r="B40" s="2">
        <v>41.5</v>
      </c>
      <c r="C40" s="2">
        <v>305</v>
      </c>
      <c r="D40" s="2">
        <f t="shared" si="0"/>
        <v>176.3855421686747</v>
      </c>
      <c r="E40" s="4">
        <f t="shared" si="1"/>
        <v>-5.5342294203189257E-2</v>
      </c>
      <c r="F40" s="4">
        <f t="shared" si="2"/>
        <v>-8.7701884905117877E-2</v>
      </c>
      <c r="I40" s="2">
        <v>26</v>
      </c>
      <c r="J40" s="2">
        <v>7050</v>
      </c>
      <c r="K40" s="2">
        <v>1106</v>
      </c>
      <c r="L40" s="2">
        <v>152.98372513562387</v>
      </c>
      <c r="M40" s="4">
        <v>-0.18067403351761804</v>
      </c>
      <c r="N40" s="4">
        <v>-0.20874034024876198</v>
      </c>
      <c r="R40" s="2">
        <v>1800</v>
      </c>
      <c r="S40" s="2">
        <v>238</v>
      </c>
      <c r="T40" s="2">
        <v>181.51260504201682</v>
      </c>
      <c r="U40" s="4">
        <v>-2.7883584198625629E-2</v>
      </c>
      <c r="V40" s="4">
        <v>-6.1183782923437208E-2</v>
      </c>
      <c r="Y40" s="2" t="e">
        <v>#NUM!</v>
      </c>
      <c r="AA40" s="2" t="e">
        <v>#NUM!</v>
      </c>
      <c r="AD40" s="2" t="s">
        <v>3</v>
      </c>
      <c r="AE40" s="2">
        <v>58</v>
      </c>
      <c r="AF40" s="2">
        <v>41.5</v>
      </c>
      <c r="AG40" s="2">
        <f t="shared" si="5"/>
        <v>57.831325301204814</v>
      </c>
      <c r="AH40" s="4">
        <f t="shared" si="6"/>
        <v>-2.9081844619859298E-3</v>
      </c>
    </row>
    <row r="41" spans="1:35">
      <c r="A41" s="2">
        <v>9</v>
      </c>
      <c r="B41" s="2">
        <v>39.5</v>
      </c>
      <c r="C41" s="2">
        <v>296</v>
      </c>
      <c r="D41" s="2">
        <f t="shared" si="0"/>
        <v>179.84810126582278</v>
      </c>
      <c r="E41" s="4">
        <f t="shared" si="1"/>
        <v>-3.6798069474328843E-2</v>
      </c>
      <c r="F41" s="4">
        <f t="shared" si="2"/>
        <v>-6.9792899288189991E-2</v>
      </c>
      <c r="I41" s="2" t="s">
        <v>141</v>
      </c>
      <c r="J41" s="2">
        <v>7200</v>
      </c>
      <c r="K41" s="2">
        <v>1165</v>
      </c>
      <c r="L41" s="2">
        <v>148.32618025751074</v>
      </c>
      <c r="M41" s="4">
        <v>-0.20561817352540049</v>
      </c>
      <c r="N41" s="4">
        <v>-0.232830009736577</v>
      </c>
      <c r="R41" s="2">
        <v>1820</v>
      </c>
      <c r="S41" s="2">
        <v>256</v>
      </c>
      <c r="T41" s="2">
        <v>170.625</v>
      </c>
      <c r="U41" s="4">
        <v>-8.6193692125600477E-2</v>
      </c>
      <c r="V41" s="4">
        <v>-0.11749645705537344</v>
      </c>
      <c r="Y41" s="2" t="e">
        <v>#NUM!</v>
      </c>
      <c r="AA41" s="2" t="e">
        <v>#NUM!</v>
      </c>
      <c r="AD41" s="2" t="s">
        <v>2</v>
      </c>
      <c r="AE41" s="2">
        <v>61.5</v>
      </c>
      <c r="AF41" s="2">
        <v>39.5</v>
      </c>
      <c r="AG41" s="2">
        <f t="shared" si="5"/>
        <v>60.75949367088608</v>
      </c>
      <c r="AH41" s="4">
        <f t="shared" si="6"/>
        <v>-1.2040753318925512E-2</v>
      </c>
    </row>
    <row r="42" spans="1:35">
      <c r="A42" s="2">
        <v>10</v>
      </c>
      <c r="B42" s="2">
        <v>34.5</v>
      </c>
      <c r="C42" s="2">
        <v>284</v>
      </c>
      <c r="D42" s="2">
        <f t="shared" si="0"/>
        <v>197.56521739130434</v>
      </c>
      <c r="E42" s="4">
        <f t="shared" si="1"/>
        <v>5.8088450512825851E-2</v>
      </c>
      <c r="F42" s="4">
        <f t="shared" si="2"/>
        <v>2.1843248705942564E-2</v>
      </c>
      <c r="I42" s="2" t="s">
        <v>102</v>
      </c>
      <c r="J42" s="2">
        <v>7425</v>
      </c>
      <c r="K42" s="2">
        <v>1200</v>
      </c>
      <c r="L42" s="2">
        <v>148.5</v>
      </c>
      <c r="M42" s="4">
        <v>-0.20468725732250062</v>
      </c>
      <c r="N42" s="4">
        <v>-0.2319309824042371</v>
      </c>
      <c r="R42" s="2">
        <v>1925</v>
      </c>
      <c r="S42" s="2">
        <v>275</v>
      </c>
      <c r="T42" s="2">
        <v>168</v>
      </c>
      <c r="U42" s="4">
        <v>-0.10025225070828354</v>
      </c>
      <c r="V42" s="4">
        <v>-0.13107343463913693</v>
      </c>
      <c r="W42" s="2">
        <v>510</v>
      </c>
      <c r="Y42" s="2">
        <v>18.823529411764707</v>
      </c>
      <c r="AA42" s="2">
        <v>16.797970588235295</v>
      </c>
      <c r="AD42" s="2" t="s">
        <v>1</v>
      </c>
      <c r="AE42" s="2">
        <v>70</v>
      </c>
      <c r="AF42" s="2">
        <v>34.5</v>
      </c>
      <c r="AG42" s="2">
        <f t="shared" si="5"/>
        <v>69.565217391304344</v>
      </c>
      <c r="AH42" s="4">
        <f t="shared" si="6"/>
        <v>-6.2111801242236142E-3</v>
      </c>
    </row>
    <row r="43" spans="1:35">
      <c r="A43" s="2">
        <v>11</v>
      </c>
      <c r="B43" s="2">
        <v>34.75</v>
      </c>
      <c r="C43" s="2">
        <v>279</v>
      </c>
      <c r="D43" s="2">
        <f t="shared" si="0"/>
        <v>192.69064748201438</v>
      </c>
      <c r="E43" s="4">
        <f t="shared" si="1"/>
        <v>3.1982002270869003E-2</v>
      </c>
      <c r="F43" s="4">
        <f t="shared" si="2"/>
        <v>-3.3689137279309112E-3</v>
      </c>
      <c r="I43" s="2">
        <v>6</v>
      </c>
      <c r="J43" s="2">
        <v>6850</v>
      </c>
      <c r="K43" s="2">
        <v>1180</v>
      </c>
      <c r="L43" s="2">
        <v>139.32203389830508</v>
      </c>
      <c r="M43" s="4">
        <v>-0.25384115222176057</v>
      </c>
      <c r="N43" s="4">
        <v>-0.27940109289080972</v>
      </c>
      <c r="R43" s="2">
        <v>1940</v>
      </c>
      <c r="S43" s="2">
        <v>275</v>
      </c>
      <c r="T43" s="2">
        <v>169.30909090909091</v>
      </c>
      <c r="U43" s="4">
        <v>-9.3241229285231195E-2</v>
      </c>
      <c r="V43" s="4">
        <v>-0.12430257828567563</v>
      </c>
      <c r="Y43" s="2" t="e">
        <v>#NUM!</v>
      </c>
      <c r="AA43" s="2" t="e">
        <v>#NUM!</v>
      </c>
      <c r="AD43" s="2" t="s">
        <v>0</v>
      </c>
      <c r="AE43" s="2">
        <v>70.5</v>
      </c>
      <c r="AF43" s="2">
        <v>34.75</v>
      </c>
      <c r="AG43" s="2">
        <f t="shared" si="5"/>
        <v>69.064748201438846</v>
      </c>
      <c r="AH43" s="4">
        <f t="shared" si="6"/>
        <v>-2.0358181539874565E-2</v>
      </c>
    </row>
    <row r="44" spans="1:35">
      <c r="A44" s="2">
        <v>12</v>
      </c>
      <c r="B44" s="2">
        <v>38</v>
      </c>
      <c r="C44" s="2">
        <v>317.5</v>
      </c>
      <c r="D44" s="2">
        <f t="shared" si="0"/>
        <v>200.52631578947367</v>
      </c>
      <c r="E44" s="4">
        <f t="shared" si="1"/>
        <v>7.3947031579398415E-2</v>
      </c>
      <c r="F44" s="4">
        <f t="shared" si="2"/>
        <v>3.7158588353661592E-2</v>
      </c>
      <c r="G44" s="2">
        <v>10</v>
      </c>
      <c r="I44" s="2">
        <v>11</v>
      </c>
      <c r="J44" s="2">
        <v>7750</v>
      </c>
      <c r="K44" s="2">
        <v>1240</v>
      </c>
      <c r="L44" s="2">
        <v>150</v>
      </c>
      <c r="M44" s="4">
        <v>-0.19665379527525317</v>
      </c>
      <c r="N44" s="4">
        <v>-0.22417270949922941</v>
      </c>
      <c r="R44" s="2">
        <v>2030</v>
      </c>
      <c r="S44" s="2">
        <v>292</v>
      </c>
      <c r="T44" s="2">
        <v>166.84931506849315</v>
      </c>
      <c r="U44" s="4">
        <v>-0.10641490652535007</v>
      </c>
      <c r="V44" s="4">
        <v>-0.13702498645667707</v>
      </c>
      <c r="Y44" s="2" t="e">
        <v>#NUM!</v>
      </c>
      <c r="AA44" s="2" t="e">
        <v>#NUM!</v>
      </c>
      <c r="AD44" s="2" t="s">
        <v>18</v>
      </c>
      <c r="AE44" s="2">
        <v>63</v>
      </c>
      <c r="AF44" s="2">
        <v>38</v>
      </c>
      <c r="AG44" s="2">
        <f t="shared" si="5"/>
        <v>63.157894736842103</v>
      </c>
      <c r="AH44" s="4">
        <f t="shared" si="6"/>
        <v>2.5062656641603454E-3</v>
      </c>
    </row>
    <row r="45" spans="1:35">
      <c r="A45" s="2">
        <f>A33+1</f>
        <v>1793</v>
      </c>
      <c r="B45" s="2">
        <v>43.75</v>
      </c>
      <c r="C45" s="2">
        <v>370</v>
      </c>
      <c r="D45" s="2">
        <f t="shared" si="0"/>
        <v>202.97142857142856</v>
      </c>
      <c r="E45" s="4">
        <f t="shared" si="1"/>
        <v>8.7042178736114417E-2</v>
      </c>
      <c r="F45" s="4">
        <f t="shared" si="2"/>
        <v>4.980515651761408E-2</v>
      </c>
      <c r="I45" s="2">
        <v>16</v>
      </c>
      <c r="J45" s="2">
        <v>7500</v>
      </c>
      <c r="K45" s="2">
        <v>1190</v>
      </c>
      <c r="L45" s="2">
        <v>151.26050420168067</v>
      </c>
      <c r="M45" s="4">
        <v>-0.18990298683218804</v>
      </c>
      <c r="N45" s="4">
        <v>-0.21765315243619771</v>
      </c>
      <c r="P45" s="2">
        <v>5</v>
      </c>
      <c r="Q45" s="2" t="s">
        <v>114</v>
      </c>
      <c r="R45" s="2">
        <v>2110</v>
      </c>
      <c r="S45" s="2">
        <v>299</v>
      </c>
      <c r="T45" s="2">
        <v>169.36454849498327</v>
      </c>
      <c r="U45" s="4">
        <v>-9.2944218344232388E-2</v>
      </c>
      <c r="V45" s="4">
        <v>-0.12401574156167178</v>
      </c>
      <c r="Y45" s="2" t="e">
        <v>#NUM!</v>
      </c>
      <c r="AA45" s="2" t="e">
        <v>#NUM!</v>
      </c>
      <c r="AD45" s="2">
        <f>AD33+1</f>
        <v>1793</v>
      </c>
      <c r="AE45" s="2">
        <v>55</v>
      </c>
      <c r="AF45" s="2">
        <v>43.75</v>
      </c>
      <c r="AG45" s="2">
        <f t="shared" si="5"/>
        <v>54.857142857142861</v>
      </c>
      <c r="AH45" s="4">
        <f t="shared" si="6"/>
        <v>-2.5974025974024872E-3</v>
      </c>
      <c r="AI45" s="4">
        <f>AVERAGEA(AH45:AH56)</f>
        <v>2.5079800100058967E-3</v>
      </c>
    </row>
    <row r="46" spans="1:35">
      <c r="A46" s="2">
        <v>2</v>
      </c>
      <c r="B46" s="2">
        <v>43</v>
      </c>
      <c r="C46" s="2">
        <v>358</v>
      </c>
      <c r="D46" s="2">
        <f t="shared" si="0"/>
        <v>199.81395348837211</v>
      </c>
      <c r="E46" s="4">
        <f t="shared" si="1"/>
        <v>7.0131874572872066E-2</v>
      </c>
      <c r="F46" s="4">
        <f t="shared" si="2"/>
        <v>3.3474120927538209E-2</v>
      </c>
      <c r="I46" s="2">
        <v>21</v>
      </c>
      <c r="J46" s="2">
        <v>8800</v>
      </c>
      <c r="K46" s="2">
        <v>1380</v>
      </c>
      <c r="L46" s="2">
        <v>153.04347826086956</v>
      </c>
      <c r="M46" s="4">
        <v>-0.18035401720837427</v>
      </c>
      <c r="N46" s="4">
        <v>-0.20843128621370652</v>
      </c>
      <c r="R46" s="2">
        <v>2200</v>
      </c>
      <c r="S46" s="2">
        <v>328</v>
      </c>
      <c r="T46" s="2">
        <v>160.97560975609755</v>
      </c>
      <c r="U46" s="4">
        <v>-0.13787236566124733</v>
      </c>
      <c r="V46" s="4">
        <v>-0.1674048589747828</v>
      </c>
      <c r="Y46" s="2" t="e">
        <v>#NUM!</v>
      </c>
      <c r="AA46" s="2" t="e">
        <v>#NUM!</v>
      </c>
      <c r="AD46" s="2" t="s">
        <v>15</v>
      </c>
      <c r="AE46" s="2">
        <v>54.5</v>
      </c>
      <c r="AF46" s="2">
        <v>43</v>
      </c>
      <c r="AG46" s="2">
        <f t="shared" si="5"/>
        <v>55.813953488372093</v>
      </c>
      <c r="AH46" s="4">
        <f t="shared" si="6"/>
        <v>2.4109238318754E-2</v>
      </c>
    </row>
    <row r="47" spans="1:35">
      <c r="A47" s="2">
        <v>3</v>
      </c>
      <c r="B47" s="2">
        <v>48</v>
      </c>
      <c r="C47" s="2">
        <v>388</v>
      </c>
      <c r="D47" s="2">
        <f t="shared" si="0"/>
        <v>194</v>
      </c>
      <c r="E47" s="4">
        <f t="shared" si="1"/>
        <v>3.8994424777339276E-2</v>
      </c>
      <c r="F47" s="4">
        <f t="shared" si="2"/>
        <v>3.4032957143299569E-3</v>
      </c>
      <c r="I47" s="2">
        <v>26</v>
      </c>
      <c r="J47" s="2">
        <v>9700</v>
      </c>
      <c r="K47" s="2">
        <v>1620</v>
      </c>
      <c r="L47" s="2">
        <v>143.7037037037037</v>
      </c>
      <c r="M47" s="4">
        <v>-0.23037450016493394</v>
      </c>
      <c r="N47" s="4">
        <v>-0.25673829947086674</v>
      </c>
      <c r="R47" s="2">
        <v>2400</v>
      </c>
      <c r="S47" s="2">
        <v>336</v>
      </c>
      <c r="T47" s="2">
        <v>171.42857142857142</v>
      </c>
      <c r="U47" s="4">
        <v>-8.1890051743146536E-2</v>
      </c>
      <c r="V47" s="4">
        <v>-0.11334023942769081</v>
      </c>
      <c r="Y47" s="2" t="e">
        <v>#NUM!</v>
      </c>
      <c r="AA47" s="2" t="e">
        <v>#NUM!</v>
      </c>
      <c r="AD47" s="2" t="s">
        <v>13</v>
      </c>
      <c r="AE47" s="2">
        <v>50</v>
      </c>
      <c r="AF47" s="2">
        <v>48</v>
      </c>
      <c r="AG47" s="2">
        <f t="shared" si="5"/>
        <v>50</v>
      </c>
      <c r="AH47" s="4">
        <f t="shared" si="6"/>
        <v>0</v>
      </c>
    </row>
    <row r="48" spans="1:35">
      <c r="A48" s="2">
        <v>4</v>
      </c>
      <c r="B48" s="2">
        <v>55</v>
      </c>
      <c r="C48" s="2">
        <v>435.5</v>
      </c>
      <c r="D48" s="2">
        <f t="shared" si="0"/>
        <v>190.03636363636363</v>
      </c>
      <c r="E48" s="4">
        <f t="shared" si="1"/>
        <v>1.7766609913097531E-2</v>
      </c>
      <c r="F48" s="4">
        <f t="shared" si="2"/>
        <v>-1.7097352689205536E-2</v>
      </c>
      <c r="I48" s="2" t="s">
        <v>33</v>
      </c>
      <c r="J48" s="2">
        <v>10900</v>
      </c>
      <c r="K48" s="2">
        <v>1685</v>
      </c>
      <c r="L48" s="2">
        <v>155.25222551928783</v>
      </c>
      <c r="M48" s="4">
        <v>-0.16852475902673086</v>
      </c>
      <c r="N48" s="4">
        <v>-0.19700724354104218</v>
      </c>
      <c r="R48" s="2">
        <v>2375</v>
      </c>
      <c r="S48" s="2">
        <v>329</v>
      </c>
      <c r="T48" s="2">
        <v>173.25227963525836</v>
      </c>
      <c r="U48" s="4">
        <v>-7.2122924634030999E-2</v>
      </c>
      <c r="V48" s="4">
        <v>-0.10390768878330446</v>
      </c>
      <c r="W48" s="2">
        <v>545</v>
      </c>
      <c r="Y48" s="2">
        <v>21.073561301084236</v>
      </c>
      <c r="AA48" s="2">
        <v>18.805881467889908</v>
      </c>
      <c r="AD48" s="2" t="s">
        <v>11</v>
      </c>
      <c r="AE48" s="2">
        <v>44</v>
      </c>
      <c r="AF48" s="2">
        <v>55</v>
      </c>
      <c r="AG48" s="2">
        <f t="shared" si="5"/>
        <v>43.636363636363633</v>
      </c>
      <c r="AH48" s="4">
        <f t="shared" si="6"/>
        <v>-8.2644628099174389E-3</v>
      </c>
    </row>
    <row r="49" spans="1:35">
      <c r="A49" s="2">
        <v>5</v>
      </c>
      <c r="B49" s="2">
        <v>61</v>
      </c>
      <c r="C49" s="2">
        <v>512</v>
      </c>
      <c r="D49" s="2">
        <f t="shared" si="0"/>
        <v>201.44262295081967</v>
      </c>
      <c r="E49" s="4">
        <f t="shared" si="1"/>
        <v>7.8854444115594502E-2</v>
      </c>
      <c r="F49" s="4">
        <f t="shared" si="2"/>
        <v>4.1897895702018406E-2</v>
      </c>
      <c r="I49" s="2">
        <v>6</v>
      </c>
      <c r="J49" s="2">
        <v>19500</v>
      </c>
      <c r="K49" s="2">
        <v>2666</v>
      </c>
      <c r="L49" s="2">
        <v>175.54388597149287</v>
      </c>
      <c r="M49" s="4">
        <v>-5.9849902947783168E-2</v>
      </c>
      <c r="N49" s="4">
        <v>-9.205508388506968E-2</v>
      </c>
      <c r="R49" s="2">
        <v>2325</v>
      </c>
      <c r="S49" s="2">
        <v>324</v>
      </c>
      <c r="T49" s="2">
        <v>172.22222222222223</v>
      </c>
      <c r="U49" s="4">
        <v>-7.7639542723438787E-2</v>
      </c>
      <c r="V49" s="4">
        <v>-0.10923533312874482</v>
      </c>
      <c r="Y49" s="2" t="e">
        <v>#NUM!</v>
      </c>
      <c r="AA49" s="2" t="e">
        <v>#NUM!</v>
      </c>
      <c r="AD49" s="2" t="s">
        <v>146</v>
      </c>
      <c r="AE49" s="2">
        <v>39</v>
      </c>
      <c r="AF49" s="2">
        <v>61</v>
      </c>
      <c r="AG49" s="2">
        <f t="shared" si="5"/>
        <v>39.344262295081968</v>
      </c>
      <c r="AH49" s="4">
        <f t="shared" si="6"/>
        <v>8.8272383354350836E-3</v>
      </c>
    </row>
    <row r="50" spans="1:35">
      <c r="A50" s="2">
        <v>6</v>
      </c>
      <c r="B50" s="2">
        <v>72</v>
      </c>
      <c r="C50" s="2">
        <v>650</v>
      </c>
      <c r="D50" s="2">
        <f t="shared" si="0"/>
        <v>216.66666666666666</v>
      </c>
      <c r="E50" s="4">
        <f t="shared" si="1"/>
        <v>0.16038896238018974</v>
      </c>
      <c r="F50" s="4">
        <f t="shared" si="2"/>
        <v>0.12063941961222424</v>
      </c>
      <c r="G50" s="2">
        <v>11</v>
      </c>
      <c r="I50" s="2">
        <v>11</v>
      </c>
      <c r="J50" s="2">
        <v>18000</v>
      </c>
      <c r="K50" s="2">
        <v>2588</v>
      </c>
      <c r="L50" s="2">
        <v>166.92426584234931</v>
      </c>
      <c r="M50" s="4">
        <v>-0.10601349706055989</v>
      </c>
      <c r="N50" s="4">
        <v>-0.13663732741799867</v>
      </c>
      <c r="R50" s="2">
        <v>2350</v>
      </c>
      <c r="S50" s="2">
        <v>335</v>
      </c>
      <c r="T50" s="2">
        <v>168.35820895522389</v>
      </c>
      <c r="U50" s="4">
        <v>-9.8333812010433369E-2</v>
      </c>
      <c r="V50" s="4">
        <v>-0.12922071275137387</v>
      </c>
      <c r="Y50" s="2" t="e">
        <v>#NUM!</v>
      </c>
      <c r="AA50" s="2" t="e">
        <v>#NUM!</v>
      </c>
      <c r="AD50" s="2" t="s">
        <v>5</v>
      </c>
      <c r="AE50" s="2">
        <v>33</v>
      </c>
      <c r="AF50" s="2">
        <v>72</v>
      </c>
      <c r="AG50" s="2">
        <f t="shared" si="5"/>
        <v>33.333333333333329</v>
      </c>
      <c r="AH50" s="4">
        <f t="shared" si="6"/>
        <v>1.0101010101009944E-2</v>
      </c>
    </row>
    <row r="51" spans="1:35">
      <c r="A51" s="2">
        <v>7</v>
      </c>
      <c r="B51" s="2">
        <v>75</v>
      </c>
      <c r="C51" s="2">
        <v>750</v>
      </c>
      <c r="D51" s="2">
        <f t="shared" si="0"/>
        <v>240</v>
      </c>
      <c r="E51" s="4">
        <f t="shared" si="1"/>
        <v>0.28535392755959488</v>
      </c>
      <c r="F51" s="4">
        <f t="shared" si="2"/>
        <v>0.24132366480123291</v>
      </c>
      <c r="I51" s="2">
        <v>16</v>
      </c>
      <c r="J51" s="2">
        <v>22190</v>
      </c>
      <c r="K51" s="2">
        <v>3080</v>
      </c>
      <c r="L51" s="2">
        <v>172.90909090909091</v>
      </c>
      <c r="M51" s="4">
        <v>-7.3960920371837297E-2</v>
      </c>
      <c r="N51" s="4">
        <v>-0.10568272331365718</v>
      </c>
      <c r="R51" s="2">
        <v>2400</v>
      </c>
      <c r="S51" s="2">
        <v>357</v>
      </c>
      <c r="T51" s="2">
        <v>161.34453781512605</v>
      </c>
      <c r="U51" s="4">
        <v>-0.1358965192876673</v>
      </c>
      <c r="V51" s="4">
        <v>-0.16549669593194424</v>
      </c>
      <c r="W51" s="2">
        <v>570</v>
      </c>
      <c r="Y51" s="2">
        <v>21.864114832535886</v>
      </c>
      <c r="AA51" s="2">
        <v>19.511365263157895</v>
      </c>
      <c r="AD51" s="2" t="s">
        <v>4</v>
      </c>
      <c r="AE51" s="2">
        <v>32</v>
      </c>
      <c r="AF51" s="2">
        <v>75</v>
      </c>
      <c r="AG51" s="2">
        <f t="shared" si="5"/>
        <v>32</v>
      </c>
      <c r="AH51" s="4">
        <f t="shared" si="6"/>
        <v>0</v>
      </c>
    </row>
    <row r="52" spans="1:35">
      <c r="A52" s="2">
        <v>8</v>
      </c>
      <c r="B52" s="2">
        <v>76</v>
      </c>
      <c r="I52" s="2">
        <v>21</v>
      </c>
      <c r="J52" s="2">
        <v>22250</v>
      </c>
      <c r="K52" s="2">
        <v>3212</v>
      </c>
      <c r="L52" s="2">
        <v>166.25155666251555</v>
      </c>
      <c r="M52" s="4">
        <v>-0.10961628617057953</v>
      </c>
      <c r="N52" s="4">
        <v>-0.14011670168656815</v>
      </c>
      <c r="R52" s="2">
        <v>2450</v>
      </c>
      <c r="S52" s="2">
        <v>363</v>
      </c>
      <c r="T52" s="2">
        <v>161.98347107438016</v>
      </c>
      <c r="U52" s="4">
        <v>-0.13247462189503925</v>
      </c>
      <c r="V52" s="4">
        <v>-0.16219201686969126</v>
      </c>
      <c r="Y52" s="2" t="e">
        <v>#NUM!</v>
      </c>
      <c r="AA52" s="2" t="e">
        <v>#NUM!</v>
      </c>
      <c r="AD52" s="2" t="s">
        <v>3</v>
      </c>
      <c r="AE52" s="2">
        <v>31.5</v>
      </c>
      <c r="AF52" s="2">
        <v>76</v>
      </c>
      <c r="AG52" s="2">
        <f t="shared" si="5"/>
        <v>31.578947368421051</v>
      </c>
      <c r="AH52" s="4">
        <f t="shared" si="6"/>
        <v>2.5062656641603454E-3</v>
      </c>
    </row>
    <row r="53" spans="1:35">
      <c r="A53" s="2">
        <v>9</v>
      </c>
      <c r="B53" s="2">
        <v>83</v>
      </c>
      <c r="I53" s="2">
        <v>26</v>
      </c>
      <c r="J53" s="2">
        <v>21500</v>
      </c>
      <c r="K53" s="2">
        <v>3018</v>
      </c>
      <c r="L53" s="2">
        <v>170.97415506958251</v>
      </c>
      <c r="M53" s="4">
        <v>-8.4323742792203712E-2</v>
      </c>
      <c r="N53" s="4">
        <v>-0.11569056351138141</v>
      </c>
      <c r="R53" s="2">
        <v>2700</v>
      </c>
      <c r="S53" s="2">
        <v>390</v>
      </c>
      <c r="T53" s="2">
        <v>166.15384615384616</v>
      </c>
      <c r="U53" s="4">
        <v>-0.11013958861258809</v>
      </c>
      <c r="V53" s="4">
        <v>-0.14062207821453099</v>
      </c>
      <c r="Y53" s="2" t="e">
        <v>#NUM!</v>
      </c>
      <c r="AA53" s="2" t="e">
        <v>#NUM!</v>
      </c>
      <c r="AD53" s="2" t="s">
        <v>2</v>
      </c>
      <c r="AE53" s="2">
        <v>29</v>
      </c>
      <c r="AF53" s="2">
        <v>83</v>
      </c>
      <c r="AG53" s="2">
        <f t="shared" si="5"/>
        <v>28.915662650602407</v>
      </c>
      <c r="AH53" s="4">
        <f t="shared" si="6"/>
        <v>-2.9081844619859298E-3</v>
      </c>
    </row>
    <row r="54" spans="1:35">
      <c r="A54" s="2">
        <v>10</v>
      </c>
      <c r="B54" s="2">
        <v>81</v>
      </c>
      <c r="I54" s="2" t="s">
        <v>32</v>
      </c>
      <c r="J54" s="2">
        <v>23750</v>
      </c>
      <c r="K54" s="2">
        <v>3401</v>
      </c>
      <c r="L54" s="2">
        <v>167.5977653631285</v>
      </c>
      <c r="M54" s="4">
        <v>-0.10240647516788057</v>
      </c>
      <c r="N54" s="4">
        <v>-0.13315386536226742</v>
      </c>
      <c r="R54" s="2">
        <v>2800</v>
      </c>
      <c r="S54" s="2">
        <v>393</v>
      </c>
      <c r="T54" s="2">
        <v>170.99236641221373</v>
      </c>
      <c r="U54" s="4">
        <v>-8.4226209372298841E-2</v>
      </c>
      <c r="V54" s="4">
        <v>-0.11559637113398168</v>
      </c>
      <c r="W54" s="2">
        <v>640</v>
      </c>
      <c r="Y54" s="2">
        <v>21.436363636363637</v>
      </c>
      <c r="AA54" s="2">
        <v>19.1296434375</v>
      </c>
      <c r="AD54" s="2" t="s">
        <v>1</v>
      </c>
      <c r="AE54" s="2">
        <v>29.5</v>
      </c>
      <c r="AF54" s="2">
        <v>81</v>
      </c>
      <c r="AG54" s="2">
        <f t="shared" si="5"/>
        <v>29.629629629629626</v>
      </c>
      <c r="AH54" s="4">
        <f t="shared" si="6"/>
        <v>4.3942247332076079E-3</v>
      </c>
    </row>
    <row r="55" spans="1:35">
      <c r="A55" s="2">
        <v>11</v>
      </c>
      <c r="B55" s="2">
        <v>55</v>
      </c>
      <c r="I55" s="2">
        <v>6</v>
      </c>
      <c r="J55" s="2">
        <v>22750</v>
      </c>
      <c r="K55" s="2">
        <v>3202</v>
      </c>
      <c r="L55" s="2">
        <v>170.51842598376015</v>
      </c>
      <c r="M55" s="4">
        <v>-8.676446433539084E-2</v>
      </c>
      <c r="N55" s="4">
        <v>-0.11804767725708774</v>
      </c>
      <c r="R55" s="2">
        <v>2850</v>
      </c>
      <c r="S55" s="2">
        <v>390</v>
      </c>
      <c r="T55" s="2">
        <v>175.38461538461539</v>
      </c>
      <c r="U55" s="4">
        <v>-6.0702899091065222E-2</v>
      </c>
      <c r="V55" s="4">
        <v>-9.2878860337560515E-2</v>
      </c>
      <c r="Y55" s="2" t="e">
        <v>#NUM!</v>
      </c>
      <c r="AA55" s="2" t="e">
        <v>#NUM!</v>
      </c>
      <c r="AD55" s="2" t="s">
        <v>0</v>
      </c>
      <c r="AE55" s="2">
        <v>44</v>
      </c>
      <c r="AF55" s="2">
        <v>55</v>
      </c>
      <c r="AG55" s="2">
        <f t="shared" si="5"/>
        <v>43.636363636363633</v>
      </c>
      <c r="AH55" s="4">
        <f t="shared" si="6"/>
        <v>-8.2644628099174389E-3</v>
      </c>
    </row>
    <row r="56" spans="1:35">
      <c r="A56" s="2">
        <v>12</v>
      </c>
      <c r="B56" s="2">
        <v>46.5</v>
      </c>
      <c r="G56" s="2">
        <v>1796</v>
      </c>
      <c r="I56" s="2">
        <v>11</v>
      </c>
      <c r="J56" s="2">
        <v>26000</v>
      </c>
      <c r="K56" s="2">
        <v>3575</v>
      </c>
      <c r="L56" s="2">
        <v>174.54545454545453</v>
      </c>
      <c r="M56" s="4">
        <v>-6.5197143593021936E-2</v>
      </c>
      <c r="N56" s="4">
        <v>-9.7219152871830639E-2</v>
      </c>
      <c r="R56" s="2">
        <v>2850</v>
      </c>
      <c r="S56" s="2">
        <v>390</v>
      </c>
      <c r="T56" s="2">
        <v>175.38461538461539</v>
      </c>
      <c r="U56" s="4">
        <v>-6.0702899091065222E-2</v>
      </c>
      <c r="V56" s="4">
        <v>-9.2878860337560515E-2</v>
      </c>
      <c r="Y56" s="2" t="e">
        <v>#NUM!</v>
      </c>
      <c r="AA56" s="2" t="e">
        <v>#NUM!</v>
      </c>
      <c r="AD56" s="2" t="s">
        <v>18</v>
      </c>
      <c r="AE56" s="2">
        <v>51.5</v>
      </c>
      <c r="AF56" s="2">
        <v>46.5</v>
      </c>
      <c r="AG56" s="2">
        <f t="shared" si="5"/>
        <v>51.612903225806448</v>
      </c>
      <c r="AH56" s="4">
        <f t="shared" si="6"/>
        <v>2.1922956467270716E-3</v>
      </c>
    </row>
    <row r="57" spans="1:35">
      <c r="A57" s="2">
        <f>A45+1</f>
        <v>1794</v>
      </c>
      <c r="B57" s="2">
        <v>59.25</v>
      </c>
      <c r="I57" s="2">
        <v>16</v>
      </c>
      <c r="J57" s="2">
        <v>34916</v>
      </c>
      <c r="K57" s="2">
        <v>4865</v>
      </c>
      <c r="L57" s="2">
        <v>172.24748201438848</v>
      </c>
      <c r="M57" s="4">
        <v>-7.7504260335646155E-2</v>
      </c>
      <c r="N57" s="4">
        <v>-0.10910468488797845</v>
      </c>
      <c r="R57" s="2">
        <v>2850</v>
      </c>
      <c r="S57" s="2">
        <v>346</v>
      </c>
      <c r="T57" s="2">
        <v>197.6878612716763</v>
      </c>
      <c r="U57" s="4">
        <v>5.8745287151689453E-2</v>
      </c>
      <c r="V57" s="4">
        <v>2.2477585168645633E-2</v>
      </c>
      <c r="W57" s="2">
        <v>590</v>
      </c>
      <c r="Y57" s="2">
        <v>20.472110939907552</v>
      </c>
      <c r="AA57" s="2">
        <v>18.26915186440678</v>
      </c>
      <c r="AD57" s="2">
        <f>AD45+1</f>
        <v>1794</v>
      </c>
      <c r="AE57" s="2">
        <v>40.5</v>
      </c>
      <c r="AF57" s="2">
        <v>59.25</v>
      </c>
      <c r="AG57" s="2">
        <f t="shared" si="5"/>
        <v>40.506329113924053</v>
      </c>
      <c r="AH57" s="4">
        <f t="shared" si="6"/>
        <v>1.5627441787779972E-4</v>
      </c>
      <c r="AI57" s="4">
        <f>AVERAGEA(AH57:AH68)</f>
        <v>-3.1514306354357702E-4</v>
      </c>
    </row>
    <row r="58" spans="1:35">
      <c r="A58" s="2">
        <v>2</v>
      </c>
      <c r="B58" s="2">
        <v>58</v>
      </c>
      <c r="I58" s="2">
        <v>21</v>
      </c>
      <c r="J58" s="2">
        <v>23166</v>
      </c>
      <c r="K58" s="2">
        <v>3290</v>
      </c>
      <c r="L58" s="2">
        <v>168.99209726443769</v>
      </c>
      <c r="M58" s="4">
        <v>-9.493893356092474E-2</v>
      </c>
      <c r="N58" s="4">
        <v>-0.12594212708859079</v>
      </c>
      <c r="R58" s="2">
        <v>2800</v>
      </c>
      <c r="S58" s="2">
        <v>360</v>
      </c>
      <c r="T58" s="2">
        <v>186.66666666666666</v>
      </c>
      <c r="U58" s="4">
        <v>-2.8027856475954188E-4</v>
      </c>
      <c r="V58" s="4">
        <v>-3.4526038487929962E-2</v>
      </c>
      <c r="AD58" s="2" t="s">
        <v>15</v>
      </c>
      <c r="AE58" s="2">
        <v>41.5</v>
      </c>
      <c r="AF58" s="2">
        <v>58</v>
      </c>
      <c r="AG58" s="2">
        <f t="shared" si="5"/>
        <v>41.379310344827587</v>
      </c>
      <c r="AH58" s="4">
        <f t="shared" si="6"/>
        <v>-2.9081844619858188E-3</v>
      </c>
    </row>
    <row r="59" spans="1:35">
      <c r="A59" s="2">
        <v>3</v>
      </c>
      <c r="B59" s="2">
        <v>66.5</v>
      </c>
      <c r="I59" s="2">
        <v>26</v>
      </c>
      <c r="J59" s="2">
        <v>30000</v>
      </c>
      <c r="K59" s="2">
        <v>4300</v>
      </c>
      <c r="L59" s="2">
        <v>167.44186046511629</v>
      </c>
      <c r="M59" s="4">
        <v>-0.10324144588865462</v>
      </c>
      <c r="N59" s="4">
        <v>-0.13396023385960484</v>
      </c>
      <c r="R59" s="2">
        <v>2800</v>
      </c>
      <c r="S59" s="2">
        <v>380</v>
      </c>
      <c r="T59" s="2">
        <v>176.84210526315789</v>
      </c>
      <c r="U59" s="4">
        <v>-5.2897106008719545E-2</v>
      </c>
      <c r="V59" s="4">
        <v>-8.5340457514880994E-2</v>
      </c>
      <c r="AD59" s="2" t="s">
        <v>13</v>
      </c>
      <c r="AE59" s="2">
        <v>36</v>
      </c>
      <c r="AF59" s="2">
        <v>66.5</v>
      </c>
      <c r="AG59" s="2">
        <f t="shared" si="5"/>
        <v>36.090225563909769</v>
      </c>
      <c r="AH59" s="4">
        <f t="shared" si="6"/>
        <v>2.5062656641603454E-3</v>
      </c>
    </row>
    <row r="60" spans="1:35">
      <c r="I60" s="2" t="s">
        <v>31</v>
      </c>
      <c r="J60" s="2">
        <v>39666</v>
      </c>
      <c r="K60" s="2">
        <v>5485</v>
      </c>
      <c r="L60" s="2">
        <v>173.56134913400183</v>
      </c>
      <c r="M60" s="4">
        <v>-7.0467659241952696E-2</v>
      </c>
      <c r="N60" s="4">
        <v>-0.10230912510472728</v>
      </c>
      <c r="R60" s="2">
        <v>2870</v>
      </c>
      <c r="S60" s="2">
        <v>387</v>
      </c>
      <c r="T60" s="2">
        <v>177.98449612403101</v>
      </c>
      <c r="U60" s="4">
        <v>-4.6778870259421824E-2</v>
      </c>
      <c r="V60" s="4">
        <v>-7.9431804139654089E-2</v>
      </c>
      <c r="AD60" s="2" t="s">
        <v>11</v>
      </c>
      <c r="AE60" s="2">
        <v>36</v>
      </c>
      <c r="AF60" s="2">
        <v>66.5</v>
      </c>
      <c r="AG60" s="2">
        <f t="shared" si="5"/>
        <v>36.090225563909769</v>
      </c>
      <c r="AH60" s="4">
        <f t="shared" si="6"/>
        <v>2.5062656641603454E-3</v>
      </c>
    </row>
    <row r="61" spans="1:35">
      <c r="I61" s="2">
        <v>6</v>
      </c>
      <c r="J61" s="2">
        <v>39500</v>
      </c>
      <c r="K61" s="2">
        <v>5850</v>
      </c>
      <c r="L61" s="2">
        <v>162.05128205128204</v>
      </c>
      <c r="M61" s="4">
        <v>-0.13211145062215388</v>
      </c>
      <c r="N61" s="4">
        <v>-0.16184128615985127</v>
      </c>
      <c r="R61" s="2">
        <v>2950</v>
      </c>
      <c r="S61" s="2">
        <v>399</v>
      </c>
      <c r="T61" s="2">
        <v>177.44360902255639</v>
      </c>
      <c r="U61" s="4">
        <v>-4.967566759378321E-2</v>
      </c>
      <c r="V61" s="4">
        <v>-8.2229370635679908E-2</v>
      </c>
      <c r="AD61" s="2" t="s">
        <v>146</v>
      </c>
      <c r="AE61" s="2">
        <v>34</v>
      </c>
      <c r="AF61" s="2">
        <v>71</v>
      </c>
      <c r="AG61" s="2">
        <f t="shared" si="5"/>
        <v>33.802816901408448</v>
      </c>
      <c r="AH61" s="4">
        <f t="shared" si="6"/>
        <v>-5.7995028997515075E-3</v>
      </c>
    </row>
    <row r="62" spans="1:35">
      <c r="G62" s="2">
        <v>2</v>
      </c>
      <c r="I62" s="2">
        <v>11</v>
      </c>
      <c r="J62" s="2">
        <v>31500</v>
      </c>
      <c r="K62" s="2">
        <v>4658</v>
      </c>
      <c r="L62" s="2">
        <v>162.3014169171318</v>
      </c>
      <c r="M62" s="4">
        <v>-0.13077181798782231</v>
      </c>
      <c r="N62" s="4">
        <v>-0.16054754312497133</v>
      </c>
      <c r="Q62" s="2" t="s">
        <v>113</v>
      </c>
      <c r="R62" s="2">
        <v>3200</v>
      </c>
      <c r="U62" s="4" t="e">
        <v>#NUM!</v>
      </c>
      <c r="V62" s="4" t="e">
        <v>#NUM!</v>
      </c>
      <c r="AD62" s="2" t="s">
        <v>5</v>
      </c>
      <c r="AE62" s="2">
        <v>30</v>
      </c>
      <c r="AF62" s="2">
        <v>80</v>
      </c>
      <c r="AG62" s="2">
        <f t="shared" si="5"/>
        <v>30</v>
      </c>
      <c r="AH62" s="4">
        <f t="shared" si="6"/>
        <v>0</v>
      </c>
    </row>
    <row r="63" spans="1:35">
      <c r="I63" s="2">
        <v>16</v>
      </c>
      <c r="J63" s="2">
        <v>37250</v>
      </c>
      <c r="K63" s="2">
        <v>5363</v>
      </c>
      <c r="L63" s="2">
        <v>166.69774380011188</v>
      </c>
      <c r="M63" s="4">
        <v>-0.10722666788001282</v>
      </c>
      <c r="N63" s="4">
        <v>-0.13780894063311713</v>
      </c>
      <c r="U63" s="4" t="e">
        <v>#NUM!</v>
      </c>
      <c r="V63" s="4" t="e">
        <v>#NUM!</v>
      </c>
      <c r="AD63" s="2" t="s">
        <v>4</v>
      </c>
      <c r="AE63" s="2">
        <v>34</v>
      </c>
      <c r="AF63" s="2">
        <v>71</v>
      </c>
      <c r="AG63" s="2">
        <f t="shared" si="5"/>
        <v>33.802816901408448</v>
      </c>
      <c r="AH63" s="4">
        <f t="shared" si="6"/>
        <v>-5.7995028997515075E-3</v>
      </c>
    </row>
    <row r="64" spans="1:35">
      <c r="I64" s="2">
        <v>21</v>
      </c>
      <c r="J64" s="2">
        <v>39833</v>
      </c>
      <c r="K64" s="2">
        <v>5559</v>
      </c>
      <c r="L64" s="2">
        <v>171.97193739881274</v>
      </c>
      <c r="M64" s="4">
        <v>-7.8979978476680215E-2</v>
      </c>
      <c r="N64" s="4">
        <v>-0.11052985177140646</v>
      </c>
      <c r="U64" s="4" t="e">
        <v>#NUM!</v>
      </c>
      <c r="V64" s="4" t="e">
        <v>#NUM!</v>
      </c>
      <c r="AD64" s="2" t="s">
        <v>3</v>
      </c>
      <c r="AE64" s="2">
        <v>31</v>
      </c>
      <c r="AF64" s="2">
        <v>77.5</v>
      </c>
      <c r="AG64" s="2">
        <f t="shared" si="5"/>
        <v>30.967741935483872</v>
      </c>
      <c r="AH64" s="4">
        <f t="shared" si="6"/>
        <v>-1.0405827263266776E-3</v>
      </c>
    </row>
    <row r="65" spans="7:35">
      <c r="I65" s="2">
        <v>26</v>
      </c>
      <c r="J65" s="2">
        <v>37166</v>
      </c>
      <c r="K65" s="2">
        <v>5217</v>
      </c>
      <c r="L65" s="2">
        <v>170.97642323174239</v>
      </c>
      <c r="M65" s="4">
        <v>-8.4311595329118125E-2</v>
      </c>
      <c r="N65" s="4">
        <v>-0.11567883216402863</v>
      </c>
      <c r="R65" s="2">
        <v>2800</v>
      </c>
      <c r="U65" s="4" t="e">
        <v>#NUM!</v>
      </c>
      <c r="V65" s="4" t="e">
        <v>#NUM!</v>
      </c>
      <c r="AD65" s="2" t="s">
        <v>2</v>
      </c>
      <c r="AE65" s="2">
        <v>28.75</v>
      </c>
      <c r="AF65" s="2">
        <v>83</v>
      </c>
      <c r="AG65" s="2">
        <f t="shared" si="5"/>
        <v>28.915662650602407</v>
      </c>
      <c r="AH65" s="4">
        <f t="shared" si="6"/>
        <v>5.7621791513879916E-3</v>
      </c>
    </row>
    <row r="66" spans="7:35">
      <c r="I66" s="2" t="s">
        <v>30</v>
      </c>
      <c r="J66" s="2">
        <v>38250</v>
      </c>
      <c r="K66" s="2">
        <v>5525</v>
      </c>
      <c r="L66" s="2">
        <v>166.15384615384616</v>
      </c>
      <c r="M66" s="4">
        <v>-0.11013958861258809</v>
      </c>
      <c r="N66" s="4">
        <v>-0.14062207821453099</v>
      </c>
      <c r="R66" s="2">
        <v>2750</v>
      </c>
      <c r="U66" s="4" t="e">
        <v>#NUM!</v>
      </c>
      <c r="V66" s="4" t="e">
        <v>#NUM!</v>
      </c>
      <c r="AD66" s="2" t="s">
        <v>1</v>
      </c>
      <c r="AE66" s="2">
        <v>25.5</v>
      </c>
      <c r="AF66" s="2">
        <v>94</v>
      </c>
      <c r="AG66" s="2">
        <f t="shared" si="5"/>
        <v>25.531914893617021</v>
      </c>
      <c r="AH66" s="4">
        <f t="shared" si="6"/>
        <v>1.2515644555695093E-3</v>
      </c>
    </row>
    <row r="67" spans="7:35">
      <c r="I67" s="2">
        <v>6</v>
      </c>
      <c r="J67" s="2">
        <v>36000</v>
      </c>
      <c r="K67" s="2">
        <v>5292</v>
      </c>
      <c r="L67" s="2">
        <v>163.26530612244898</v>
      </c>
      <c r="M67" s="4">
        <v>-0.12560957308871096</v>
      </c>
      <c r="N67" s="4">
        <v>-0.15556213278827691</v>
      </c>
      <c r="R67" s="2">
        <v>2900</v>
      </c>
      <c r="U67" s="4" t="e">
        <v>#NUM!</v>
      </c>
      <c r="V67" s="4" t="e">
        <v>#NUM!</v>
      </c>
      <c r="AD67" s="2" t="s">
        <v>0</v>
      </c>
      <c r="AE67" s="2">
        <v>24.5</v>
      </c>
      <c r="AF67" s="2">
        <v>98</v>
      </c>
      <c r="AG67" s="2">
        <f t="shared" si="5"/>
        <v>24.489795918367346</v>
      </c>
      <c r="AH67" s="4">
        <f t="shared" si="6"/>
        <v>-4.1649312786340431E-4</v>
      </c>
    </row>
    <row r="68" spans="7:35">
      <c r="G68" s="2">
        <v>3</v>
      </c>
      <c r="I68" s="2">
        <v>11</v>
      </c>
      <c r="J68" s="2">
        <v>36750</v>
      </c>
      <c r="K68" s="2">
        <v>5243</v>
      </c>
      <c r="L68" s="2">
        <v>168.22429906542055</v>
      </c>
      <c r="M68" s="4">
        <v>-9.9050985355424156E-2</v>
      </c>
      <c r="N68" s="4">
        <v>-0.12991331906455639</v>
      </c>
      <c r="R68" s="2">
        <v>3150</v>
      </c>
      <c r="U68" s="4" t="e">
        <v>#NUM!</v>
      </c>
      <c r="V68" s="4" t="e">
        <v>#NUM!</v>
      </c>
      <c r="AD68" s="2" t="s">
        <v>18</v>
      </c>
      <c r="AE68" s="2">
        <v>20</v>
      </c>
      <c r="AF68" s="2">
        <v>120</v>
      </c>
      <c r="AG68" s="2">
        <f t="shared" ref="AG68:AG95" si="7">24/AF68*100</f>
        <v>20</v>
      </c>
      <c r="AH68" s="4">
        <f t="shared" ref="AH68:AH95" si="8">AG68/AE68-1</f>
        <v>0</v>
      </c>
    </row>
    <row r="69" spans="7:35">
      <c r="I69" s="2">
        <v>16</v>
      </c>
      <c r="J69" s="2">
        <v>38750</v>
      </c>
      <c r="K69" s="2">
        <v>5495</v>
      </c>
      <c r="L69" s="2">
        <v>169.24476797088263</v>
      </c>
      <c r="M69" s="4">
        <v>-9.3585719873806955E-2</v>
      </c>
      <c r="N69" s="4">
        <v>-0.12463526822479015</v>
      </c>
      <c r="R69" s="2">
        <v>3225</v>
      </c>
      <c r="U69" s="4" t="e">
        <v>#NUM!</v>
      </c>
      <c r="V69" s="4" t="e">
        <v>#NUM!</v>
      </c>
      <c r="AD69" s="2">
        <f>AD57+1</f>
        <v>1795</v>
      </c>
      <c r="AE69" s="2">
        <v>18.75</v>
      </c>
      <c r="AF69" s="2">
        <v>130</v>
      </c>
      <c r="AG69" s="2">
        <f t="shared" si="7"/>
        <v>18.461538461538463</v>
      </c>
      <c r="AH69" s="4">
        <f t="shared" si="8"/>
        <v>-1.538461538461533E-2</v>
      </c>
      <c r="AI69" s="4">
        <f>AVERAGEA(AH69:AH80)</f>
        <v>-7.1418012562274757E-2</v>
      </c>
    </row>
    <row r="70" spans="7:35">
      <c r="I70" s="2">
        <v>21</v>
      </c>
      <c r="J70" s="2">
        <v>44000</v>
      </c>
      <c r="K70" s="2">
        <v>6119</v>
      </c>
      <c r="L70" s="2">
        <v>172.57721849975485</v>
      </c>
      <c r="M70" s="4">
        <v>-7.5738309975123819E-2</v>
      </c>
      <c r="N70" s="4">
        <v>-0.10739922779450488</v>
      </c>
      <c r="R70" s="2">
        <v>3150</v>
      </c>
      <c r="S70" s="2">
        <v>415</v>
      </c>
      <c r="T70" s="2">
        <v>182.16867469879517</v>
      </c>
      <c r="U70" s="4">
        <v>-2.4369910406572562E-2</v>
      </c>
      <c r="V70" s="4">
        <v>-5.7790471295449723E-2</v>
      </c>
      <c r="AD70" s="2" t="s">
        <v>15</v>
      </c>
      <c r="AE70" s="2">
        <v>17.5</v>
      </c>
      <c r="AF70" s="2">
        <v>137</v>
      </c>
      <c r="AG70" s="2">
        <f t="shared" si="7"/>
        <v>17.518248175182482</v>
      </c>
      <c r="AH70" s="4">
        <f t="shared" si="8"/>
        <v>1.0427528675702735E-3</v>
      </c>
    </row>
    <row r="71" spans="7:35">
      <c r="I71" s="2">
        <v>26</v>
      </c>
      <c r="J71" s="2">
        <v>50000</v>
      </c>
      <c r="K71" s="2">
        <v>6610</v>
      </c>
      <c r="L71" s="2">
        <v>181.54311649016643</v>
      </c>
      <c r="M71" s="4">
        <v>-2.7720175824814657E-2</v>
      </c>
      <c r="N71" s="4">
        <v>-6.1025972162456095E-2</v>
      </c>
      <c r="R71" s="2">
        <v>3150</v>
      </c>
      <c r="S71" s="2">
        <v>417</v>
      </c>
      <c r="T71" s="2">
        <v>181.29496402877697</v>
      </c>
      <c r="U71" s="4">
        <v>-2.9049191411816794E-2</v>
      </c>
      <c r="V71" s="4">
        <v>-6.2309461840795263E-2</v>
      </c>
      <c r="AD71" s="2" t="s">
        <v>13</v>
      </c>
      <c r="AE71" s="2">
        <v>13</v>
      </c>
      <c r="AF71" s="2">
        <v>180</v>
      </c>
      <c r="AG71" s="2">
        <f t="shared" si="7"/>
        <v>13.333333333333334</v>
      </c>
      <c r="AH71" s="4">
        <f t="shared" si="8"/>
        <v>2.5641025641025772E-2</v>
      </c>
    </row>
    <row r="72" spans="7:35">
      <c r="I72" s="2" t="s">
        <v>29</v>
      </c>
      <c r="J72" s="2">
        <v>53000</v>
      </c>
      <c r="K72" s="2">
        <v>7011</v>
      </c>
      <c r="L72" s="2">
        <v>181.42918271287976</v>
      </c>
      <c r="M72" s="4">
        <v>-2.8330364275302618E-2</v>
      </c>
      <c r="N72" s="4">
        <v>-6.161525838731495E-2</v>
      </c>
      <c r="R72" s="2">
        <v>3300</v>
      </c>
      <c r="S72" s="2">
        <v>427</v>
      </c>
      <c r="T72" s="2">
        <v>185.48009367681499</v>
      </c>
      <c r="U72" s="4">
        <v>-6.635137951601101E-3</v>
      </c>
      <c r="V72" s="4">
        <v>-4.0663209872583421E-2</v>
      </c>
      <c r="AD72" s="2" t="s">
        <v>11</v>
      </c>
      <c r="AE72" s="2">
        <v>10</v>
      </c>
      <c r="AF72" s="2">
        <v>217</v>
      </c>
      <c r="AG72" s="2">
        <f t="shared" si="7"/>
        <v>11.059907834101383</v>
      </c>
      <c r="AH72" s="4">
        <f t="shared" si="8"/>
        <v>0.10599078341013835</v>
      </c>
    </row>
    <row r="73" spans="7:35">
      <c r="G73" s="2">
        <v>4</v>
      </c>
      <c r="I73" s="2">
        <v>6</v>
      </c>
      <c r="J73" s="2">
        <v>185</v>
      </c>
      <c r="L73" s="2">
        <v>185</v>
      </c>
      <c r="M73" s="4">
        <v>-9.2063475061455666E-3</v>
      </c>
      <c r="N73" s="4">
        <v>-4.3146341715716255E-2</v>
      </c>
      <c r="P73" s="2">
        <v>6</v>
      </c>
      <c r="Q73" s="2" t="s">
        <v>137</v>
      </c>
      <c r="R73" s="2">
        <v>3400</v>
      </c>
      <c r="S73" s="2">
        <v>430</v>
      </c>
      <c r="T73" s="2">
        <v>189.76744186046511</v>
      </c>
      <c r="U73" s="4">
        <v>1.6326361326191325E-2</v>
      </c>
      <c r="V73" s="4">
        <v>-1.8488265040885583E-2</v>
      </c>
      <c r="AD73" s="2" t="s">
        <v>146</v>
      </c>
      <c r="AE73" s="2">
        <v>6</v>
      </c>
      <c r="AF73" s="2">
        <v>415</v>
      </c>
      <c r="AG73" s="2">
        <f t="shared" si="7"/>
        <v>5.7831325301204819</v>
      </c>
      <c r="AH73" s="4">
        <f t="shared" si="8"/>
        <v>-3.6144578313253017E-2</v>
      </c>
    </row>
    <row r="74" spans="7:35">
      <c r="I74" s="2">
        <v>11</v>
      </c>
      <c r="J74" s="2">
        <v>184</v>
      </c>
      <c r="L74" s="2">
        <v>184</v>
      </c>
      <c r="M74" s="4">
        <v>-1.4561988870977212E-2</v>
      </c>
      <c r="N74" s="4">
        <v>-4.8318523652388062E-2</v>
      </c>
      <c r="R74" s="2">
        <v>3500</v>
      </c>
      <c r="S74" s="2">
        <v>445</v>
      </c>
      <c r="T74" s="2">
        <v>188.76404494382024</v>
      </c>
      <c r="U74" s="4">
        <v>1.0952527294063508E-2</v>
      </c>
      <c r="V74" s="4">
        <v>-2.3678016448468384E-2</v>
      </c>
      <c r="AD74" s="2" t="s">
        <v>5</v>
      </c>
      <c r="AE74" s="2">
        <v>3.5</v>
      </c>
      <c r="AF74" s="2">
        <v>750</v>
      </c>
      <c r="AG74" s="2">
        <f t="shared" si="7"/>
        <v>3.2</v>
      </c>
      <c r="AH74" s="4">
        <f t="shared" si="8"/>
        <v>-8.5714285714285632E-2</v>
      </c>
    </row>
    <row r="75" spans="7:35">
      <c r="I75" s="2">
        <v>16</v>
      </c>
      <c r="J75" s="2">
        <v>183</v>
      </c>
      <c r="L75" s="2">
        <v>183</v>
      </c>
      <c r="M75" s="4">
        <v>-1.9917630235808857E-2</v>
      </c>
      <c r="N75" s="4">
        <v>-5.3490705589059863E-2</v>
      </c>
      <c r="R75" s="2">
        <v>3650</v>
      </c>
      <c r="S75" s="2">
        <v>474</v>
      </c>
      <c r="T75" s="2">
        <v>184.81012658227849</v>
      </c>
      <c r="U75" s="4">
        <v>-1.022324143617687E-2</v>
      </c>
      <c r="V75" s="4">
        <v>-4.4128401577109615E-2</v>
      </c>
      <c r="AD75" s="2" t="s">
        <v>4</v>
      </c>
      <c r="AE75" s="2">
        <v>3.25</v>
      </c>
      <c r="AF75" s="2">
        <v>765</v>
      </c>
      <c r="AG75" s="2">
        <f t="shared" si="7"/>
        <v>3.1372549019607843</v>
      </c>
      <c r="AH75" s="4">
        <f t="shared" si="8"/>
        <v>-3.4690799396681737E-2</v>
      </c>
    </row>
    <row r="76" spans="7:35">
      <c r="I76" s="2">
        <v>21</v>
      </c>
      <c r="J76" s="2">
        <v>180</v>
      </c>
      <c r="L76" s="2">
        <v>180</v>
      </c>
      <c r="M76" s="4">
        <v>-3.5984554330303793E-2</v>
      </c>
      <c r="N76" s="4">
        <v>-6.9007251399075278E-2</v>
      </c>
      <c r="R76" s="2">
        <v>4000</v>
      </c>
      <c r="S76" s="2">
        <v>496</v>
      </c>
      <c r="T76" s="2">
        <v>193.54838709677421</v>
      </c>
      <c r="U76" s="4">
        <v>3.657574803193147E-2</v>
      </c>
      <c r="V76" s="4">
        <v>1.0674716138976189E-3</v>
      </c>
      <c r="AD76" s="2" t="s">
        <v>3</v>
      </c>
      <c r="AE76" s="2">
        <v>2.5</v>
      </c>
      <c r="AF76" s="2">
        <v>1121</v>
      </c>
      <c r="AG76" s="2">
        <f t="shared" si="7"/>
        <v>2.140945584299732</v>
      </c>
      <c r="AH76" s="4">
        <f t="shared" si="8"/>
        <v>-0.14362176628010714</v>
      </c>
    </row>
    <row r="77" spans="7:35">
      <c r="I77" s="2">
        <v>26</v>
      </c>
      <c r="J77" s="2">
        <v>180</v>
      </c>
      <c r="L77" s="2">
        <v>180</v>
      </c>
      <c r="M77" s="4">
        <v>-3.5984554330303793E-2</v>
      </c>
      <c r="N77" s="4">
        <v>-6.9007251399075278E-2</v>
      </c>
      <c r="R77" s="2">
        <v>4450</v>
      </c>
      <c r="S77" s="2">
        <v>577</v>
      </c>
      <c r="T77" s="2">
        <v>185.09532062391682</v>
      </c>
      <c r="U77" s="4">
        <v>-8.6958444297750865E-3</v>
      </c>
      <c r="V77" s="4">
        <v>-4.2653326106501396E-2</v>
      </c>
      <c r="AD77" s="2" t="s">
        <v>2</v>
      </c>
      <c r="AE77" s="2">
        <v>2</v>
      </c>
      <c r="AF77" s="2">
        <v>1200</v>
      </c>
      <c r="AG77" s="2">
        <f t="shared" si="7"/>
        <v>2</v>
      </c>
      <c r="AH77" s="4">
        <f t="shared" si="8"/>
        <v>0</v>
      </c>
    </row>
    <row r="78" spans="7:35">
      <c r="I78" s="2" t="s">
        <v>28</v>
      </c>
      <c r="J78" s="2">
        <v>174</v>
      </c>
      <c r="L78" s="2">
        <v>174</v>
      </c>
      <c r="M78" s="4">
        <v>-6.8118402519293672E-2</v>
      </c>
      <c r="N78" s="4">
        <v>-0.1000403430191061</v>
      </c>
      <c r="R78" s="2">
        <v>4650</v>
      </c>
      <c r="S78" s="2">
        <v>566</v>
      </c>
      <c r="T78" s="2">
        <v>197.1731448763251</v>
      </c>
      <c r="U78" s="4">
        <v>5.598865073358953E-2</v>
      </c>
      <c r="V78" s="4">
        <v>1.9815378326101332E-2</v>
      </c>
      <c r="AD78" s="2" t="s">
        <v>1</v>
      </c>
      <c r="AE78" s="2">
        <v>1.25</v>
      </c>
      <c r="AF78" s="2">
        <v>2580</v>
      </c>
      <c r="AG78" s="2">
        <f t="shared" si="7"/>
        <v>0.93023255813953487</v>
      </c>
      <c r="AH78" s="4">
        <f t="shared" si="8"/>
        <v>-0.2558139534883721</v>
      </c>
    </row>
    <row r="79" spans="7:35">
      <c r="I79" s="2">
        <v>6</v>
      </c>
      <c r="J79" s="2">
        <v>173</v>
      </c>
      <c r="L79" s="2">
        <v>173</v>
      </c>
      <c r="M79" s="4">
        <v>-7.3474043884125317E-2</v>
      </c>
      <c r="N79" s="4">
        <v>-0.1052125249557779</v>
      </c>
      <c r="R79" s="2">
        <v>4650</v>
      </c>
      <c r="S79" s="2">
        <v>580</v>
      </c>
      <c r="T79" s="2">
        <v>192.41379310344828</v>
      </c>
      <c r="U79" s="4">
        <v>3.0499269508985644E-2</v>
      </c>
      <c r="V79" s="4">
        <v>-4.8008549438390427E-3</v>
      </c>
      <c r="AD79" s="2" t="s">
        <v>0</v>
      </c>
      <c r="AE79" s="2">
        <v>1</v>
      </c>
      <c r="AF79" s="2">
        <v>3096</v>
      </c>
      <c r="AG79" s="2">
        <f t="shared" si="7"/>
        <v>0.77519379844961245</v>
      </c>
      <c r="AH79" s="4">
        <f t="shared" si="8"/>
        <v>-0.22480620155038755</v>
      </c>
    </row>
    <row r="80" spans="7:35">
      <c r="G80" s="2">
        <v>5</v>
      </c>
      <c r="I80" s="2">
        <v>11</v>
      </c>
      <c r="J80" s="2">
        <v>174.25</v>
      </c>
      <c r="L80" s="2">
        <v>174.25</v>
      </c>
      <c r="M80" s="4">
        <v>-6.677949217808575E-2</v>
      </c>
      <c r="N80" s="4">
        <v>-9.8747297534938147E-2</v>
      </c>
      <c r="R80" s="2">
        <v>5000</v>
      </c>
      <c r="S80" s="2">
        <v>637</v>
      </c>
      <c r="T80" s="2">
        <v>188.38304552590267</v>
      </c>
      <c r="U80" s="4">
        <v>8.9120310514874193E-3</v>
      </c>
      <c r="V80" s="4">
        <v>-2.5648614755704086E-2</v>
      </c>
      <c r="AE80" s="2">
        <v>0.875</v>
      </c>
      <c r="AF80" s="2">
        <v>3401</v>
      </c>
      <c r="AG80" s="2">
        <f t="shared" si="7"/>
        <v>0.70567480152896211</v>
      </c>
      <c r="AH80" s="4">
        <f t="shared" si="8"/>
        <v>-0.19351451253832896</v>
      </c>
    </row>
    <row r="81" spans="7:35">
      <c r="I81" s="2">
        <v>16</v>
      </c>
      <c r="J81" s="2">
        <v>175</v>
      </c>
      <c r="L81" s="2">
        <v>175</v>
      </c>
      <c r="M81" s="4">
        <v>-6.2762761154462027E-2</v>
      </c>
      <c r="N81" s="4">
        <v>-9.4868161082434302E-2</v>
      </c>
      <c r="R81" s="2">
        <v>5450</v>
      </c>
      <c r="S81" s="2">
        <v>690</v>
      </c>
      <c r="T81" s="2">
        <v>189.56521739130434</v>
      </c>
      <c r="U81" s="4">
        <v>1.5243319594172794E-2</v>
      </c>
      <c r="V81" s="4">
        <v>-1.9534206787431951E-2</v>
      </c>
      <c r="AD81" s="2" t="s">
        <v>18</v>
      </c>
      <c r="AE81" s="2">
        <f>9/16</f>
        <v>0.5625</v>
      </c>
      <c r="AF81" s="2">
        <v>5055</v>
      </c>
      <c r="AG81" s="2">
        <f t="shared" si="7"/>
        <v>0.47477744807121658</v>
      </c>
      <c r="AH81" s="4">
        <f t="shared" si="8"/>
        <v>-0.1559512034289483</v>
      </c>
    </row>
    <row r="82" spans="7:35">
      <c r="I82" s="2">
        <v>21</v>
      </c>
      <c r="J82" s="2">
        <v>176.125</v>
      </c>
      <c r="L82" s="2">
        <v>176.125</v>
      </c>
      <c r="M82" s="4">
        <v>-5.6737664619026421E-2</v>
      </c>
      <c r="N82" s="4">
        <v>-8.904945640367852E-2</v>
      </c>
      <c r="R82" s="2">
        <v>5850</v>
      </c>
      <c r="S82" s="2">
        <v>760</v>
      </c>
      <c r="T82" s="2">
        <v>184.73684210526315</v>
      </c>
      <c r="U82" s="4">
        <v>-1.061572681268025E-2</v>
      </c>
      <c r="V82" s="4">
        <v>-4.4507442225366768E-2</v>
      </c>
      <c r="AD82" s="2">
        <f>AD69+1</f>
        <v>1796</v>
      </c>
      <c r="AE82" s="2">
        <v>0.5</v>
      </c>
      <c r="AF82" s="2">
        <v>4271</v>
      </c>
      <c r="AG82" s="2">
        <f t="shared" si="7"/>
        <v>0.56192929056427066</v>
      </c>
      <c r="AH82" s="4">
        <f t="shared" si="8"/>
        <v>0.12385858112854131</v>
      </c>
      <c r="AI82" s="4">
        <f>AVERAGEA(AH82:AH93)</f>
        <v>-4.6659730158338818E-2</v>
      </c>
    </row>
    <row r="83" spans="7:35">
      <c r="I83" s="2">
        <v>26</v>
      </c>
      <c r="J83" s="2">
        <v>177</v>
      </c>
      <c r="L83" s="2">
        <v>177</v>
      </c>
      <c r="M83" s="4">
        <v>-5.2051478424798729E-2</v>
      </c>
      <c r="N83" s="4">
        <v>-8.4523797209090687E-2</v>
      </c>
      <c r="R83" s="2">
        <v>6500</v>
      </c>
      <c r="S83" s="2">
        <v>810</v>
      </c>
      <c r="T83" s="2">
        <v>192.59259259259258</v>
      </c>
      <c r="U83" s="4">
        <v>3.1456855449057609E-2</v>
      </c>
      <c r="V83" s="4">
        <v>-3.876071455800767E-3</v>
      </c>
      <c r="AE83" s="2">
        <v>0.4375</v>
      </c>
      <c r="AF83" s="2">
        <v>5388</v>
      </c>
      <c r="AG83" s="2">
        <f t="shared" si="7"/>
        <v>0.44543429844097993</v>
      </c>
      <c r="AH83" s="4">
        <f t="shared" si="8"/>
        <v>1.8135539293668401E-2</v>
      </c>
    </row>
    <row r="84" spans="7:35">
      <c r="I84" s="2" t="s">
        <v>27</v>
      </c>
      <c r="J84" s="2">
        <v>177.5</v>
      </c>
      <c r="L84" s="2">
        <v>177.5</v>
      </c>
      <c r="M84" s="4">
        <v>-4.9373657742382906E-2</v>
      </c>
      <c r="N84" s="4">
        <v>-8.193770624075479E-2</v>
      </c>
      <c r="R84" s="2">
        <v>8100</v>
      </c>
      <c r="S84" s="2">
        <v>876</v>
      </c>
      <c r="T84" s="2">
        <v>221.91780821917808</v>
      </c>
      <c r="U84" s="4">
        <v>0.18851219329140628</v>
      </c>
      <c r="V84" s="4">
        <v>0.1477992790970305</v>
      </c>
      <c r="AE84" s="2">
        <v>0.46666666666666667</v>
      </c>
      <c r="AF84" s="2">
        <v>5472</v>
      </c>
      <c r="AG84" s="2">
        <f t="shared" si="7"/>
        <v>0.43859649122807015</v>
      </c>
      <c r="AH84" s="4">
        <f t="shared" si="8"/>
        <v>-6.0150375939849732E-2</v>
      </c>
    </row>
    <row r="85" spans="7:35">
      <c r="I85" s="2">
        <v>6</v>
      </c>
      <c r="J85" s="2">
        <v>178</v>
      </c>
      <c r="L85" s="2">
        <v>178</v>
      </c>
      <c r="M85" s="4">
        <v>-4.6695837059967084E-2</v>
      </c>
      <c r="N85" s="4">
        <v>-7.9351615272418879E-2</v>
      </c>
      <c r="R85" s="2">
        <v>5800</v>
      </c>
      <c r="S85" s="2">
        <v>853</v>
      </c>
      <c r="T85" s="2">
        <v>163.18874560375147</v>
      </c>
      <c r="U85" s="4">
        <v>-0.12601960376956026</v>
      </c>
      <c r="V85" s="4">
        <v>-0.15595811772014637</v>
      </c>
      <c r="AD85" s="2" t="s">
        <v>15</v>
      </c>
      <c r="AE85" s="2">
        <v>0.46666666666666667</v>
      </c>
      <c r="AF85" s="2">
        <v>5600</v>
      </c>
      <c r="AG85" s="2">
        <f t="shared" si="7"/>
        <v>0.4285714285714286</v>
      </c>
      <c r="AH85" s="4">
        <f t="shared" si="8"/>
        <v>-8.1632653061224469E-2</v>
      </c>
    </row>
    <row r="86" spans="7:35">
      <c r="G86" s="2">
        <v>6</v>
      </c>
      <c r="I86" s="2">
        <v>11</v>
      </c>
      <c r="J86" s="2">
        <v>180</v>
      </c>
      <c r="L86" s="2">
        <v>180</v>
      </c>
      <c r="M86" s="4">
        <v>-3.5984554330303793E-2</v>
      </c>
      <c r="N86" s="4">
        <v>-6.9007251399075278E-2</v>
      </c>
      <c r="R86" s="2">
        <v>5700</v>
      </c>
      <c r="S86" s="2">
        <v>686</v>
      </c>
      <c r="T86" s="2">
        <v>199.41690962099125</v>
      </c>
      <c r="U86" s="4">
        <v>6.8005450013074481E-2</v>
      </c>
      <c r="V86" s="4">
        <v>3.1420537808604619E-2</v>
      </c>
      <c r="AE86" s="2">
        <v>0.4375</v>
      </c>
      <c r="AF86" s="2">
        <v>7500</v>
      </c>
      <c r="AG86" s="2">
        <f t="shared" si="7"/>
        <v>0.32</v>
      </c>
      <c r="AH86" s="4">
        <f t="shared" si="8"/>
        <v>-0.26857142857142857</v>
      </c>
    </row>
    <row r="87" spans="7:35">
      <c r="I87" s="2">
        <v>16</v>
      </c>
      <c r="J87" s="2">
        <v>182</v>
      </c>
      <c r="L87" s="2">
        <v>182</v>
      </c>
      <c r="M87" s="4">
        <v>-2.5273271600640503E-2</v>
      </c>
      <c r="N87" s="4">
        <v>-5.866288752573167E-2</v>
      </c>
      <c r="R87" s="2">
        <v>6450</v>
      </c>
      <c r="S87" s="2">
        <v>795</v>
      </c>
      <c r="T87" s="2">
        <v>194.71698113207546</v>
      </c>
      <c r="U87" s="4">
        <v>4.2834318586086398E-2</v>
      </c>
      <c r="V87" s="4">
        <v>7.1116525745851776E-3</v>
      </c>
      <c r="AD87" s="2" t="s">
        <v>13</v>
      </c>
      <c r="AE87" s="2">
        <v>0.375</v>
      </c>
      <c r="AF87" s="2">
        <v>6625</v>
      </c>
      <c r="AG87" s="2">
        <f t="shared" si="7"/>
        <v>0.3622641509433962</v>
      </c>
      <c r="AH87" s="4">
        <f t="shared" si="8"/>
        <v>-3.39622641509435E-2</v>
      </c>
    </row>
    <row r="88" spans="7:35">
      <c r="I88" s="2">
        <v>21</v>
      </c>
      <c r="J88" s="2">
        <v>179.5</v>
      </c>
      <c r="L88" s="2">
        <v>179.5</v>
      </c>
      <c r="M88" s="4">
        <v>-3.8662375012719616E-2</v>
      </c>
      <c r="N88" s="4">
        <v>-7.1593342367411175E-2</v>
      </c>
      <c r="R88" s="2">
        <v>6660</v>
      </c>
      <c r="S88" s="2">
        <v>811</v>
      </c>
      <c r="T88" s="2">
        <v>197.09001233045623</v>
      </c>
      <c r="U88" s="4">
        <v>5.5543422632170478E-2</v>
      </c>
      <c r="V88" s="4">
        <v>1.9385401674008852E-2</v>
      </c>
      <c r="AD88" s="2" t="s">
        <v>145</v>
      </c>
      <c r="AE88" s="2">
        <v>0.3125</v>
      </c>
      <c r="AF88" s="2">
        <v>5000</v>
      </c>
      <c r="AG88" s="2">
        <f t="shared" si="7"/>
        <v>0.48</v>
      </c>
      <c r="AH88" s="4">
        <f t="shared" si="8"/>
        <v>0.53600000000000003</v>
      </c>
    </row>
    <row r="89" spans="7:35">
      <c r="I89" s="2">
        <v>26</v>
      </c>
      <c r="J89" s="2">
        <v>182</v>
      </c>
      <c r="L89" s="2">
        <v>182</v>
      </c>
      <c r="M89" s="4">
        <v>-2.5273271600640503E-2</v>
      </c>
      <c r="N89" s="4">
        <v>-5.866288752573167E-2</v>
      </c>
      <c r="Q89" s="2" t="s">
        <v>136</v>
      </c>
      <c r="R89" s="2">
        <v>7800</v>
      </c>
      <c r="S89" s="2">
        <v>893</v>
      </c>
      <c r="T89" s="2">
        <v>209.63045912653976</v>
      </c>
      <c r="U89" s="4">
        <v>0.12270555822674591</v>
      </c>
      <c r="V89" s="4">
        <v>8.4246874070505878E-2</v>
      </c>
      <c r="AD89" s="2" t="s">
        <v>145</v>
      </c>
      <c r="AE89" s="2">
        <v>0.42499999999999999</v>
      </c>
      <c r="AF89" s="2">
        <v>5800</v>
      </c>
      <c r="AG89" s="2">
        <f t="shared" si="7"/>
        <v>0.41379310344827586</v>
      </c>
      <c r="AH89" s="4">
        <f t="shared" si="8"/>
        <v>-2.6369168356997985E-2</v>
      </c>
    </row>
    <row r="90" spans="7:35">
      <c r="I90" s="2" t="s">
        <v>38</v>
      </c>
      <c r="R90" s="2">
        <v>7600</v>
      </c>
      <c r="S90" s="2">
        <v>870</v>
      </c>
      <c r="T90" s="2">
        <v>209.65517241379311</v>
      </c>
      <c r="U90" s="4">
        <v>0.1228379137302209</v>
      </c>
      <c r="V90" s="4">
        <v>8.4374695688433435E-2</v>
      </c>
      <c r="AD90" s="2" t="s">
        <v>11</v>
      </c>
      <c r="AE90" s="2">
        <v>0.625</v>
      </c>
      <c r="AF90" s="2">
        <v>6025</v>
      </c>
      <c r="AG90" s="2">
        <f t="shared" si="7"/>
        <v>0.39834024896265557</v>
      </c>
      <c r="AH90" s="4">
        <f t="shared" si="8"/>
        <v>-0.36265560165975108</v>
      </c>
    </row>
    <row r="91" spans="7:35">
      <c r="I91" s="2">
        <v>6</v>
      </c>
      <c r="R91" s="2">
        <v>7700</v>
      </c>
      <c r="S91" s="2">
        <v>837</v>
      </c>
      <c r="T91" s="2">
        <v>220.78853046594983</v>
      </c>
      <c r="U91" s="4">
        <v>0.18246418664383293</v>
      </c>
      <c r="V91" s="4">
        <v>0.14195844910029801</v>
      </c>
      <c r="AE91" s="2">
        <v>0.4</v>
      </c>
      <c r="AF91" s="2">
        <v>6350</v>
      </c>
      <c r="AG91" s="2">
        <f t="shared" si="7"/>
        <v>0.37795275590551181</v>
      </c>
      <c r="AH91" s="4">
        <f t="shared" si="8"/>
        <v>-5.5118110236220486E-2</v>
      </c>
    </row>
    <row r="92" spans="7:35">
      <c r="G92" s="2">
        <v>7</v>
      </c>
      <c r="I92" s="2">
        <v>11</v>
      </c>
      <c r="J92" s="2">
        <v>181</v>
      </c>
      <c r="L92" s="2">
        <v>181</v>
      </c>
      <c r="M92" s="4">
        <v>-3.0628912965472148E-2</v>
      </c>
      <c r="N92" s="4">
        <v>-6.3835069462403471E-2</v>
      </c>
      <c r="R92" s="2">
        <v>7300</v>
      </c>
      <c r="S92" s="2">
        <v>830</v>
      </c>
      <c r="T92" s="2">
        <v>211.0843373493976</v>
      </c>
      <c r="U92" s="4">
        <v>0.13049200857651128</v>
      </c>
      <c r="V92" s="4">
        <v>9.1766596752891699E-2</v>
      </c>
      <c r="AD92" s="2" t="s">
        <v>7</v>
      </c>
      <c r="AE92" s="2">
        <v>0.4</v>
      </c>
      <c r="AF92" s="2">
        <v>7275</v>
      </c>
      <c r="AG92" s="2">
        <f t="shared" si="7"/>
        <v>0.32989690721649484</v>
      </c>
      <c r="AH92" s="4">
        <f t="shared" si="8"/>
        <v>-0.17525773195876293</v>
      </c>
    </row>
    <row r="93" spans="7:35">
      <c r="I93" s="2">
        <v>16</v>
      </c>
      <c r="J93" s="2">
        <v>179</v>
      </c>
      <c r="L93" s="2">
        <v>179</v>
      </c>
      <c r="M93" s="4">
        <v>-4.1340195695135439E-2</v>
      </c>
      <c r="N93" s="4">
        <v>-7.4179433335747086E-2</v>
      </c>
      <c r="R93" s="2">
        <v>5800</v>
      </c>
      <c r="S93" s="2">
        <v>661</v>
      </c>
      <c r="T93" s="2">
        <v>210.59001512859305</v>
      </c>
      <c r="U93" s="4">
        <v>0.12784459604321499</v>
      </c>
      <c r="V93" s="4">
        <v>8.9209872291550918E-2</v>
      </c>
      <c r="AE93" s="2">
        <v>0.375</v>
      </c>
      <c r="AF93" s="2">
        <v>7750</v>
      </c>
      <c r="AG93" s="2">
        <f t="shared" si="7"/>
        <v>0.30967741935483872</v>
      </c>
      <c r="AH93" s="4">
        <f t="shared" si="8"/>
        <v>-0.17419354838709677</v>
      </c>
    </row>
    <row r="94" spans="7:35">
      <c r="I94" s="2">
        <v>21</v>
      </c>
      <c r="J94" s="2">
        <v>179</v>
      </c>
      <c r="L94" s="2">
        <v>179</v>
      </c>
      <c r="M94" s="4">
        <v>-4.1340195695135439E-2</v>
      </c>
      <c r="N94" s="4">
        <v>-7.4179433335747086E-2</v>
      </c>
      <c r="R94" s="2">
        <v>6700</v>
      </c>
      <c r="S94" s="2">
        <v>723</v>
      </c>
      <c r="T94" s="2">
        <v>222.40663900414938</v>
      </c>
      <c r="U94" s="4">
        <v>0.19113019566380171</v>
      </c>
      <c r="V94" s="4">
        <v>0.15032760085314814</v>
      </c>
      <c r="AE94" s="2">
        <v>0.3</v>
      </c>
      <c r="AF94" s="2">
        <v>10875</v>
      </c>
      <c r="AG94" s="2">
        <f t="shared" si="7"/>
        <v>0.22068965517241379</v>
      </c>
      <c r="AH94" s="4">
        <f t="shared" si="8"/>
        <v>-0.26436781609195403</v>
      </c>
    </row>
    <row r="95" spans="7:35">
      <c r="I95" s="2">
        <v>26</v>
      </c>
      <c r="J95" s="2">
        <v>179</v>
      </c>
      <c r="L95" s="2">
        <v>179</v>
      </c>
      <c r="M95" s="4">
        <v>-4.1340195695135439E-2</v>
      </c>
      <c r="N95" s="4">
        <v>-7.4179433335747086E-2</v>
      </c>
      <c r="R95" s="2">
        <v>7200</v>
      </c>
      <c r="S95" s="2">
        <v>829</v>
      </c>
      <c r="T95" s="2">
        <v>208.44390832328105</v>
      </c>
      <c r="U95" s="4">
        <v>0.11635081766333934</v>
      </c>
      <c r="V95" s="4">
        <v>7.8109817438947751E-2</v>
      </c>
      <c r="AD95" s="2" t="s">
        <v>5</v>
      </c>
      <c r="AE95" s="2">
        <v>0.25</v>
      </c>
      <c r="AF95" s="2">
        <v>17350</v>
      </c>
      <c r="AG95" s="2">
        <f t="shared" si="7"/>
        <v>0.13832853025936598</v>
      </c>
      <c r="AH95" s="4">
        <f t="shared" si="8"/>
        <v>-0.44668587896253609</v>
      </c>
    </row>
    <row r="96" spans="7:35">
      <c r="I96" s="2" t="s">
        <v>37</v>
      </c>
      <c r="J96" s="2">
        <v>180</v>
      </c>
      <c r="L96" s="2">
        <v>180</v>
      </c>
      <c r="M96" s="4">
        <v>-3.5984554330303793E-2</v>
      </c>
      <c r="N96" s="4">
        <v>-6.9007251399075278E-2</v>
      </c>
      <c r="R96" s="2">
        <v>6500</v>
      </c>
      <c r="S96" s="2">
        <v>758</v>
      </c>
      <c r="T96" s="2">
        <v>205.8047493403694</v>
      </c>
      <c r="U96" s="4">
        <v>0.10221642864609068</v>
      </c>
      <c r="V96" s="4">
        <v>6.4459607019526979E-2</v>
      </c>
      <c r="AD96" s="2" t="s">
        <v>144</v>
      </c>
      <c r="AE96" s="2">
        <v>5</v>
      </c>
      <c r="AF96" s="2">
        <f>7.9+0.15/4</f>
        <v>7.9375</v>
      </c>
      <c r="AH96" s="4">
        <f t="shared" ref="AH96:AH104" si="9">AF96/AE96-1</f>
        <v>0.58749999999999991</v>
      </c>
    </row>
    <row r="97" spans="7:34">
      <c r="I97" s="2">
        <v>6</v>
      </c>
      <c r="J97" s="2">
        <v>181</v>
      </c>
      <c r="L97" s="2">
        <v>181</v>
      </c>
      <c r="M97" s="4">
        <v>-3.0628912965472148E-2</v>
      </c>
      <c r="N97" s="4">
        <v>-6.3835069462403471E-2</v>
      </c>
      <c r="R97" s="2">
        <v>6900</v>
      </c>
      <c r="U97" s="4" t="e">
        <v>#NUM!</v>
      </c>
      <c r="V97" s="4" t="e">
        <v>#NUM!</v>
      </c>
      <c r="AE97" s="2">
        <v>7</v>
      </c>
      <c r="AF97" s="2">
        <f>8.3+0.05/4</f>
        <v>8.3125</v>
      </c>
      <c r="AH97" s="4">
        <f t="shared" si="9"/>
        <v>0.1875</v>
      </c>
    </row>
    <row r="98" spans="7:34">
      <c r="G98" s="2">
        <v>8</v>
      </c>
      <c r="I98" s="2">
        <v>11</v>
      </c>
      <c r="J98" s="2">
        <v>182</v>
      </c>
      <c r="L98" s="2">
        <v>182</v>
      </c>
      <c r="M98" s="4">
        <v>-2.5273271600640503E-2</v>
      </c>
      <c r="N98" s="4">
        <v>-5.866288752573167E-2</v>
      </c>
      <c r="R98" s="2">
        <v>7000</v>
      </c>
      <c r="S98" s="2">
        <v>788</v>
      </c>
      <c r="T98" s="2">
        <v>213.1979695431472</v>
      </c>
      <c r="U98" s="4">
        <v>0.14181186458339645</v>
      </c>
      <c r="V98" s="4">
        <v>0.10269868700617135</v>
      </c>
      <c r="AE98" s="2">
        <v>7</v>
      </c>
      <c r="AF98" s="2">
        <v>7.875</v>
      </c>
      <c r="AH98" s="4">
        <f t="shared" si="9"/>
        <v>0.125</v>
      </c>
    </row>
    <row r="99" spans="7:34">
      <c r="I99" s="2">
        <v>16</v>
      </c>
      <c r="J99" s="2">
        <v>181</v>
      </c>
      <c r="L99" s="2">
        <v>181</v>
      </c>
      <c r="M99" s="4">
        <v>-3.0628912965472148E-2</v>
      </c>
      <c r="N99" s="4">
        <v>-6.3835069462403471E-2</v>
      </c>
      <c r="R99" s="2">
        <v>6200</v>
      </c>
      <c r="S99" s="2">
        <v>750</v>
      </c>
      <c r="T99" s="2">
        <v>198.4</v>
      </c>
      <c r="U99" s="4">
        <v>6.2559246782598513E-2</v>
      </c>
      <c r="V99" s="4">
        <v>2.6160896235685946E-2</v>
      </c>
      <c r="W99" s="2">
        <v>1460</v>
      </c>
      <c r="Y99" s="2">
        <v>17.932752179327522</v>
      </c>
      <c r="AA99" s="2">
        <v>16.003047945205481</v>
      </c>
      <c r="AD99" s="2" t="s">
        <v>4</v>
      </c>
      <c r="AE99" s="2">
        <v>7</v>
      </c>
      <c r="AF99" s="2">
        <v>7.25</v>
      </c>
      <c r="AH99" s="4">
        <f t="shared" si="9"/>
        <v>3.5714285714285809E-2</v>
      </c>
    </row>
    <row r="100" spans="7:34">
      <c r="I100" s="2">
        <v>21</v>
      </c>
      <c r="J100" s="2">
        <v>181.5</v>
      </c>
      <c r="L100" s="2">
        <v>181.5</v>
      </c>
      <c r="M100" s="4">
        <v>-2.7951092283056325E-2</v>
      </c>
      <c r="N100" s="4">
        <v>-6.1248978494067567E-2</v>
      </c>
      <c r="P100" s="2">
        <v>7</v>
      </c>
      <c r="Q100" s="2" t="s">
        <v>135</v>
      </c>
      <c r="R100" s="2">
        <v>6150</v>
      </c>
      <c r="U100" s="4" t="e">
        <v>#NUM!</v>
      </c>
      <c r="V100" s="4" t="e">
        <v>#NUM!</v>
      </c>
      <c r="Y100" s="2" t="e">
        <v>#NUM!</v>
      </c>
      <c r="AA100" s="2" t="e">
        <v>#NUM!</v>
      </c>
      <c r="AE100" s="2">
        <v>6.5</v>
      </c>
      <c r="AF100" s="2">
        <v>4.8</v>
      </c>
      <c r="AH100" s="4">
        <f t="shared" si="9"/>
        <v>-0.26153846153846161</v>
      </c>
    </row>
    <row r="101" spans="7:34">
      <c r="I101" s="2">
        <v>26</v>
      </c>
      <c r="J101" s="2">
        <v>182</v>
      </c>
      <c r="L101" s="2">
        <v>182</v>
      </c>
      <c r="M101" s="4">
        <v>-2.5273271600640503E-2</v>
      </c>
      <c r="N101" s="4">
        <v>-5.866288752573167E-2</v>
      </c>
      <c r="R101" s="2">
        <v>6250</v>
      </c>
      <c r="S101" s="2">
        <v>808</v>
      </c>
      <c r="T101" s="2">
        <v>185.64356435643563</v>
      </c>
      <c r="U101" s="4">
        <v>-5.7596476178876366E-3</v>
      </c>
      <c r="V101" s="4">
        <v>-3.9817709776274066E-2</v>
      </c>
      <c r="Y101" s="2" t="e">
        <v>#NUM!</v>
      </c>
      <c r="AA101" s="2" t="e">
        <v>#NUM!</v>
      </c>
      <c r="AE101" s="2">
        <v>5</v>
      </c>
      <c r="AF101" s="2">
        <v>3.75</v>
      </c>
      <c r="AH101" s="4">
        <f t="shared" si="9"/>
        <v>-0.25</v>
      </c>
    </row>
    <row r="102" spans="7:34">
      <c r="I102" s="2" t="s">
        <v>36</v>
      </c>
      <c r="J102" s="2">
        <v>182.5</v>
      </c>
      <c r="L102" s="2">
        <v>182.5</v>
      </c>
      <c r="M102" s="4">
        <v>-2.259545091822468E-2</v>
      </c>
      <c r="N102" s="4">
        <v>-5.6076796557395767E-2</v>
      </c>
      <c r="R102" s="2">
        <v>5750</v>
      </c>
      <c r="S102" s="2">
        <v>745</v>
      </c>
      <c r="T102" s="2">
        <v>185.23489932885906</v>
      </c>
      <c r="U102" s="4">
        <v>-7.9483109439368056E-3</v>
      </c>
      <c r="V102" s="4">
        <v>-4.1931399650055108E-2</v>
      </c>
      <c r="W102" s="2">
        <v>1300</v>
      </c>
      <c r="X102" s="2">
        <v>2900</v>
      </c>
      <c r="Y102" s="2">
        <v>20.005594405594405</v>
      </c>
      <c r="AA102" s="2">
        <v>17.852836153846155</v>
      </c>
      <c r="AB102" s="2">
        <f t="shared" ref="AB102:AB133" si="10">X102*8/W102*X102/X102</f>
        <v>17.846153846153847</v>
      </c>
      <c r="AD102" s="2" t="s">
        <v>3</v>
      </c>
      <c r="AE102" s="2">
        <v>4.5</v>
      </c>
      <c r="AF102" s="2">
        <v>2.2999999999999998</v>
      </c>
      <c r="AH102" s="4">
        <f t="shared" si="9"/>
        <v>-0.48888888888888893</v>
      </c>
    </row>
    <row r="103" spans="7:34">
      <c r="I103" s="2">
        <v>6</v>
      </c>
      <c r="J103" s="2">
        <v>183</v>
      </c>
      <c r="L103" s="2">
        <v>183</v>
      </c>
      <c r="M103" s="4">
        <v>-1.9917630235808857E-2</v>
      </c>
      <c r="N103" s="4">
        <v>-5.3490705589059863E-2</v>
      </c>
      <c r="R103" s="2">
        <v>5000</v>
      </c>
      <c r="S103" s="2">
        <v>700</v>
      </c>
      <c r="T103" s="2">
        <v>171.42857142857142</v>
      </c>
      <c r="U103" s="4">
        <v>-8.1890051743146536E-2</v>
      </c>
      <c r="V103" s="4">
        <v>-0.11334023942769081</v>
      </c>
      <c r="Y103" s="2" t="e">
        <v>#NUM!</v>
      </c>
      <c r="AA103" s="2" t="e">
        <v>#NUM!</v>
      </c>
      <c r="AB103" s="2" t="e">
        <f t="shared" si="10"/>
        <v>#DIV/0!</v>
      </c>
      <c r="AE103" s="2">
        <v>3.5</v>
      </c>
      <c r="AF103" s="2">
        <v>2.7</v>
      </c>
      <c r="AH103" s="4">
        <f t="shared" si="9"/>
        <v>-0.22857142857142854</v>
      </c>
    </row>
    <row r="104" spans="7:34">
      <c r="G104" s="2">
        <v>9</v>
      </c>
      <c r="I104" s="2">
        <v>11</v>
      </c>
      <c r="J104" s="2">
        <v>183.5</v>
      </c>
      <c r="L104" s="2">
        <v>183.5</v>
      </c>
      <c r="M104" s="4">
        <v>-1.7239809553393035E-2</v>
      </c>
      <c r="N104" s="4">
        <v>-5.0904614620723959E-2</v>
      </c>
      <c r="R104" s="2">
        <v>5050</v>
      </c>
      <c r="S104" s="2">
        <v>690</v>
      </c>
      <c r="T104" s="2">
        <v>175.65217391304347</v>
      </c>
      <c r="U104" s="4">
        <v>-5.9269951568702302E-2</v>
      </c>
      <c r="V104" s="4">
        <v>-9.1494998949822298E-2</v>
      </c>
      <c r="Y104" s="2" t="e">
        <v>#NUM!</v>
      </c>
      <c r="AA104" s="2" t="e">
        <v>#NUM!</v>
      </c>
      <c r="AB104" s="2" t="e">
        <f t="shared" si="10"/>
        <v>#DIV/0!</v>
      </c>
      <c r="AE104" s="2">
        <v>2</v>
      </c>
      <c r="AF104" s="2">
        <v>2</v>
      </c>
      <c r="AH104" s="4">
        <f t="shared" si="9"/>
        <v>0</v>
      </c>
    </row>
    <row r="105" spans="7:34">
      <c r="I105" s="2">
        <v>16</v>
      </c>
      <c r="J105" s="2">
        <v>183</v>
      </c>
      <c r="L105" s="2">
        <v>183</v>
      </c>
      <c r="M105" s="4">
        <v>-1.9917630235808857E-2</v>
      </c>
      <c r="N105" s="4">
        <v>-5.3490705589059863E-2</v>
      </c>
      <c r="R105" s="2">
        <v>5300</v>
      </c>
      <c r="S105" s="2">
        <v>710</v>
      </c>
      <c r="T105" s="2">
        <v>179.1549295774648</v>
      </c>
      <c r="U105" s="4">
        <v>-4.0510448441429078E-2</v>
      </c>
      <c r="V105" s="4">
        <v>-7.3378109373727449E-2</v>
      </c>
      <c r="W105" s="2">
        <v>1300</v>
      </c>
      <c r="Y105" s="2">
        <v>19.065734265734267</v>
      </c>
      <c r="AA105" s="2">
        <v>17.014112307692308</v>
      </c>
      <c r="AB105" s="2" t="e">
        <f t="shared" si="10"/>
        <v>#DIV/0!</v>
      </c>
    </row>
    <row r="106" spans="7:34">
      <c r="I106" s="2">
        <v>21</v>
      </c>
      <c r="J106" s="2">
        <v>182.5</v>
      </c>
      <c r="L106" s="2">
        <v>182.5</v>
      </c>
      <c r="M106" s="4">
        <v>-2.259545091822468E-2</v>
      </c>
      <c r="N106" s="4">
        <v>-5.6076796557395767E-2</v>
      </c>
      <c r="R106" s="2">
        <v>6150</v>
      </c>
      <c r="S106" s="2">
        <v>750</v>
      </c>
      <c r="T106" s="2">
        <v>196.8</v>
      </c>
      <c r="U106" s="4">
        <v>5.3990220598867912E-2</v>
      </c>
      <c r="V106" s="4">
        <v>1.788540513701109E-2</v>
      </c>
      <c r="Y106" s="2" t="e">
        <v>#NUM!</v>
      </c>
      <c r="AA106" s="2" t="e">
        <v>#NUM!</v>
      </c>
      <c r="AB106" s="2" t="e">
        <f t="shared" si="10"/>
        <v>#DIV/0!</v>
      </c>
    </row>
    <row r="107" spans="7:34">
      <c r="I107" s="2">
        <v>26</v>
      </c>
      <c r="J107" s="2">
        <v>183</v>
      </c>
      <c r="L107" s="2">
        <v>183</v>
      </c>
      <c r="M107" s="4">
        <v>-1.9917630235808857E-2</v>
      </c>
      <c r="N107" s="4">
        <v>-5.3490705589059863E-2</v>
      </c>
      <c r="R107" s="2">
        <v>5900</v>
      </c>
      <c r="S107" s="2">
        <v>720</v>
      </c>
      <c r="T107" s="2">
        <v>196.66666666666666</v>
      </c>
      <c r="U107" s="4">
        <v>5.3276135083556914E-2</v>
      </c>
      <c r="V107" s="4">
        <v>1.7195780878788074E-2</v>
      </c>
      <c r="Y107" s="2" t="e">
        <v>#NUM!</v>
      </c>
      <c r="AA107" s="2" t="e">
        <v>#NUM!</v>
      </c>
      <c r="AB107" s="2" t="e">
        <f t="shared" si="10"/>
        <v>#DIV/0!</v>
      </c>
    </row>
    <row r="108" spans="7:34">
      <c r="I108" s="2" t="s">
        <v>35</v>
      </c>
      <c r="J108" s="2">
        <v>184</v>
      </c>
      <c r="L108" s="2">
        <v>184</v>
      </c>
      <c r="M108" s="4">
        <v>-1.4561988870977212E-2</v>
      </c>
      <c r="N108" s="4">
        <v>-4.8318523652388062E-2</v>
      </c>
      <c r="R108" s="2">
        <v>5650</v>
      </c>
      <c r="S108" s="2">
        <v>735</v>
      </c>
      <c r="T108" s="2">
        <v>184.48979591836735</v>
      </c>
      <c r="U108" s="4">
        <v>-1.1938817590243333E-2</v>
      </c>
      <c r="V108" s="4">
        <v>-4.5785210050752881E-2</v>
      </c>
      <c r="W108" s="2">
        <v>1400</v>
      </c>
      <c r="Y108" s="2">
        <v>18.327272727272728</v>
      </c>
      <c r="AA108" s="2">
        <v>16.355115000000001</v>
      </c>
      <c r="AB108" s="2" t="e">
        <f t="shared" si="10"/>
        <v>#DIV/0!</v>
      </c>
    </row>
    <row r="109" spans="7:34">
      <c r="I109" s="2">
        <v>6</v>
      </c>
      <c r="J109" s="2">
        <v>185</v>
      </c>
      <c r="L109" s="2">
        <v>185</v>
      </c>
      <c r="M109" s="4">
        <v>-9.2063475061455666E-3</v>
      </c>
      <c r="N109" s="4">
        <v>-4.3146341715716255E-2</v>
      </c>
      <c r="R109" s="2">
        <v>5800</v>
      </c>
      <c r="S109" s="2">
        <v>735</v>
      </c>
      <c r="T109" s="2">
        <v>189.38775510204081</v>
      </c>
      <c r="U109" s="4">
        <v>1.4292895217095312E-2</v>
      </c>
      <c r="V109" s="4">
        <v>-2.0452074034401212E-2</v>
      </c>
      <c r="Y109" s="2" t="e">
        <v>#NUM!</v>
      </c>
      <c r="AA109" s="2" t="e">
        <v>#NUM!</v>
      </c>
      <c r="AB109" s="2" t="e">
        <f t="shared" si="10"/>
        <v>#DIV/0!</v>
      </c>
    </row>
    <row r="110" spans="7:34">
      <c r="I110" s="2">
        <v>11</v>
      </c>
      <c r="J110" s="2">
        <v>185</v>
      </c>
      <c r="L110" s="2">
        <v>185</v>
      </c>
      <c r="M110" s="4">
        <v>-9.2063475061455666E-3</v>
      </c>
      <c r="N110" s="4">
        <v>-4.3146341715716255E-2</v>
      </c>
      <c r="R110" s="2">
        <v>5750</v>
      </c>
      <c r="S110" s="2">
        <v>730</v>
      </c>
      <c r="T110" s="2">
        <v>189.04109589041096</v>
      </c>
      <c r="U110" s="4">
        <v>1.2436312803790529E-2</v>
      </c>
      <c r="V110" s="4">
        <v>-2.2245058546974041E-2</v>
      </c>
      <c r="Y110" s="2" t="e">
        <v>#NUM!</v>
      </c>
      <c r="AA110" s="2" t="e">
        <v>#NUM!</v>
      </c>
      <c r="AB110" s="2" t="e">
        <f t="shared" si="10"/>
        <v>#DIV/0!</v>
      </c>
    </row>
    <row r="111" spans="7:34">
      <c r="G111" s="2">
        <v>10</v>
      </c>
      <c r="I111" s="2">
        <v>16</v>
      </c>
      <c r="J111" s="2">
        <v>184</v>
      </c>
      <c r="L111" s="2">
        <v>184</v>
      </c>
      <c r="M111" s="4">
        <v>-1.4561988870977212E-2</v>
      </c>
      <c r="N111" s="4">
        <v>-4.8318523652388062E-2</v>
      </c>
      <c r="R111" s="2">
        <v>5700</v>
      </c>
      <c r="S111" s="2">
        <v>717</v>
      </c>
      <c r="T111" s="2">
        <v>190.79497907949792</v>
      </c>
      <c r="U111" s="4">
        <v>2.182948216034751E-2</v>
      </c>
      <c r="V111" s="4">
        <v>-1.3173655597346113E-2</v>
      </c>
      <c r="W111" s="2">
        <v>1380</v>
      </c>
      <c r="X111" s="2">
        <v>2650</v>
      </c>
      <c r="Y111" s="2">
        <v>18.137549407114623</v>
      </c>
      <c r="AA111" s="2">
        <v>16.185807391304348</v>
      </c>
      <c r="AB111" s="2">
        <f t="shared" si="10"/>
        <v>15.362318840579711</v>
      </c>
    </row>
    <row r="112" spans="7:34">
      <c r="I112" s="2">
        <v>21</v>
      </c>
      <c r="J112" s="2">
        <v>186</v>
      </c>
      <c r="L112" s="2">
        <v>186</v>
      </c>
      <c r="M112" s="4">
        <v>-3.8507061413139217E-3</v>
      </c>
      <c r="N112" s="4">
        <v>-3.7974159779044454E-2</v>
      </c>
      <c r="R112" s="2">
        <v>5450</v>
      </c>
      <c r="S112" s="2">
        <v>685</v>
      </c>
      <c r="T112" s="2">
        <v>190.94890510948906</v>
      </c>
      <c r="U112" s="4">
        <v>2.2653854773692379E-2</v>
      </c>
      <c r="V112" s="4">
        <v>-1.2377522165442334E-2</v>
      </c>
      <c r="Y112" s="2" t="e">
        <v>#NUM!</v>
      </c>
      <c r="AA112" s="2" t="e">
        <v>#NUM!</v>
      </c>
      <c r="AB112" s="2" t="e">
        <f t="shared" si="10"/>
        <v>#DIV/0!</v>
      </c>
    </row>
    <row r="113" spans="9:28">
      <c r="I113" s="2">
        <v>26</v>
      </c>
      <c r="J113" s="2">
        <v>186</v>
      </c>
      <c r="L113" s="2">
        <v>186</v>
      </c>
      <c r="M113" s="4">
        <v>-3.8507061413139217E-3</v>
      </c>
      <c r="N113" s="4">
        <v>-3.7974159779044454E-2</v>
      </c>
      <c r="R113" s="2">
        <v>5550</v>
      </c>
      <c r="S113" s="2">
        <v>700</v>
      </c>
      <c r="T113" s="2">
        <v>190.28571428571428</v>
      </c>
      <c r="U113" s="4">
        <v>1.9102042565107374E-2</v>
      </c>
      <c r="V113" s="4">
        <v>-1.5807665764736762E-2</v>
      </c>
      <c r="Y113" s="2" t="e">
        <v>#NUM!</v>
      </c>
      <c r="AA113" s="2" t="e">
        <v>#NUM!</v>
      </c>
      <c r="AB113" s="2" t="e">
        <f t="shared" si="10"/>
        <v>#DIV/0!</v>
      </c>
    </row>
    <row r="114" spans="9:28">
      <c r="J114" s="2">
        <v>185.5</v>
      </c>
      <c r="L114" s="2">
        <v>185.5</v>
      </c>
      <c r="M114" s="4">
        <v>-6.5285268237297439E-3</v>
      </c>
      <c r="N114" s="4">
        <v>-4.0560250747380351E-2</v>
      </c>
      <c r="R114" s="2">
        <v>5750</v>
      </c>
      <c r="S114" s="2">
        <v>750</v>
      </c>
      <c r="T114" s="2">
        <v>184</v>
      </c>
      <c r="U114" s="4">
        <v>-1.4561988870977212E-2</v>
      </c>
      <c r="V114" s="4">
        <v>-4.8318523652388062E-2</v>
      </c>
      <c r="Y114" s="2" t="e">
        <v>#NUM!</v>
      </c>
      <c r="AA114" s="2" t="e">
        <v>#NUM!</v>
      </c>
      <c r="AB114" s="2" t="e">
        <f t="shared" si="10"/>
        <v>#DIV/0!</v>
      </c>
    </row>
    <row r="115" spans="9:28">
      <c r="R115" s="2">
        <v>6100</v>
      </c>
      <c r="S115" s="2">
        <v>762</v>
      </c>
      <c r="T115" s="2">
        <v>192.1259842519685</v>
      </c>
      <c r="U115" s="4">
        <v>2.8957868518835844E-2</v>
      </c>
      <c r="V115" s="4">
        <v>-6.2894546866770241E-3</v>
      </c>
      <c r="Y115" s="2" t="e">
        <v>#NUM!</v>
      </c>
      <c r="AA115" s="2" t="e">
        <v>#NUM!</v>
      </c>
      <c r="AB115" s="2" t="e">
        <f t="shared" si="10"/>
        <v>#DIV/0!</v>
      </c>
    </row>
    <row r="116" spans="9:28">
      <c r="Q116" s="2" t="s">
        <v>134</v>
      </c>
      <c r="R116" s="2">
        <v>6100</v>
      </c>
      <c r="S116" s="2">
        <v>755</v>
      </c>
      <c r="T116" s="2">
        <v>193.90728476821192</v>
      </c>
      <c r="U116" s="4">
        <v>3.8497875246825068E-2</v>
      </c>
      <c r="V116" s="4">
        <v>2.9237556672213495E-3</v>
      </c>
      <c r="Y116" s="2" t="e">
        <v>#NUM!</v>
      </c>
      <c r="AA116" s="2" t="e">
        <v>#NUM!</v>
      </c>
      <c r="AB116" s="2" t="e">
        <f t="shared" si="10"/>
        <v>#DIV/0!</v>
      </c>
    </row>
    <row r="117" spans="9:28">
      <c r="R117" s="2">
        <v>6200</v>
      </c>
      <c r="S117" s="2">
        <v>775</v>
      </c>
      <c r="T117" s="2">
        <v>192</v>
      </c>
      <c r="U117" s="4">
        <v>2.8283142047675951E-2</v>
      </c>
      <c r="V117" s="4">
        <v>-6.9410681590136277E-3</v>
      </c>
      <c r="W117" s="2">
        <v>1500</v>
      </c>
      <c r="Y117" s="2">
        <v>18.036363636363635</v>
      </c>
      <c r="AA117" s="2">
        <v>16.095510000000001</v>
      </c>
      <c r="AB117" s="2" t="e">
        <f t="shared" si="10"/>
        <v>#DIV/0!</v>
      </c>
    </row>
    <row r="118" spans="9:28">
      <c r="R118" s="2">
        <v>6450</v>
      </c>
      <c r="S118" s="2">
        <v>796</v>
      </c>
      <c r="T118" s="2">
        <v>194.47236180904522</v>
      </c>
      <c r="U118" s="4">
        <v>4.1524225221028555E-2</v>
      </c>
      <c r="V118" s="4">
        <v>5.8464369306473083E-3</v>
      </c>
      <c r="Y118" s="2" t="e">
        <v>#NUM!</v>
      </c>
      <c r="AA118" s="2" t="e">
        <v>#NUM!</v>
      </c>
      <c r="AB118" s="2" t="e">
        <f t="shared" si="10"/>
        <v>#DIV/0!</v>
      </c>
    </row>
    <row r="119" spans="9:28">
      <c r="R119" s="2">
        <v>6525</v>
      </c>
      <c r="S119" s="2">
        <v>775</v>
      </c>
      <c r="T119" s="2">
        <v>202.06451612903226</v>
      </c>
      <c r="U119" s="4">
        <v>8.2185080945336372E-2</v>
      </c>
      <c r="V119" s="4">
        <v>4.5114440364909032E-2</v>
      </c>
      <c r="Y119" s="2" t="e">
        <v>#NUM!</v>
      </c>
      <c r="AA119" s="2" t="e">
        <v>#NUM!</v>
      </c>
      <c r="AB119" s="2" t="e">
        <f t="shared" si="10"/>
        <v>#DIV/0!</v>
      </c>
    </row>
    <row r="120" spans="9:28">
      <c r="R120" s="2">
        <v>6375</v>
      </c>
      <c r="S120" s="2">
        <v>787</v>
      </c>
      <c r="T120" s="2">
        <v>194.40914866581957</v>
      </c>
      <c r="U120" s="4">
        <v>4.1185678296368225E-2</v>
      </c>
      <c r="V120" s="4">
        <v>5.5194870530953389E-3</v>
      </c>
      <c r="W120" s="2">
        <v>1500</v>
      </c>
      <c r="X120" s="2">
        <v>3100</v>
      </c>
      <c r="Y120" s="2">
        <v>18.315636363636365</v>
      </c>
      <c r="AA120" s="2">
        <v>16.344730800000001</v>
      </c>
      <c r="AB120" s="2">
        <f t="shared" si="10"/>
        <v>16.533333333333335</v>
      </c>
    </row>
    <row r="121" spans="9:28">
      <c r="R121" s="2">
        <v>6550</v>
      </c>
      <c r="S121" s="2">
        <v>820</v>
      </c>
      <c r="T121" s="2">
        <v>191.70731707317074</v>
      </c>
      <c r="U121" s="4">
        <v>2.6715637257969185E-2</v>
      </c>
      <c r="V121" s="4">
        <v>-8.4548775063321511E-3</v>
      </c>
      <c r="Y121" s="2" t="e">
        <v>#NUM!</v>
      </c>
      <c r="AA121" s="2" t="e">
        <v>#NUM!</v>
      </c>
      <c r="AB121" s="2" t="e">
        <f t="shared" si="10"/>
        <v>#DIV/0!</v>
      </c>
    </row>
    <row r="122" spans="9:28">
      <c r="R122" s="2">
        <v>6700</v>
      </c>
      <c r="S122" s="2">
        <v>836</v>
      </c>
      <c r="T122" s="2">
        <v>192.34449760765551</v>
      </c>
      <c r="U122" s="4">
        <v>3.0128147685321356E-2</v>
      </c>
      <c r="V122" s="4">
        <v>-5.1592638554711374E-3</v>
      </c>
      <c r="Y122" s="2" t="e">
        <v>#NUM!</v>
      </c>
      <c r="AA122" s="2" t="e">
        <v>#NUM!</v>
      </c>
      <c r="AB122" s="2" t="e">
        <f t="shared" si="10"/>
        <v>#DIV/0!</v>
      </c>
    </row>
    <row r="123" spans="9:28">
      <c r="R123" s="2">
        <v>6700</v>
      </c>
      <c r="S123" s="2">
        <v>827</v>
      </c>
      <c r="T123" s="2">
        <v>194.43772672309552</v>
      </c>
      <c r="U123" s="4">
        <v>4.1338732122041831E-2</v>
      </c>
      <c r="V123" s="4">
        <v>5.6672979647231824E-3</v>
      </c>
      <c r="W123" s="2">
        <v>1590</v>
      </c>
      <c r="Y123" s="2">
        <v>18.157118353344767</v>
      </c>
      <c r="AA123" s="2">
        <v>16.203270566037737</v>
      </c>
      <c r="AB123" s="2" t="e">
        <f t="shared" si="10"/>
        <v>#DIV/0!</v>
      </c>
    </row>
    <row r="124" spans="9:28">
      <c r="R124" s="2">
        <v>6500</v>
      </c>
      <c r="S124" s="2">
        <v>823</v>
      </c>
      <c r="T124" s="2">
        <f>R124/S124*24</f>
        <v>189.55042527339003</v>
      </c>
      <c r="U124" s="4">
        <v>1.5164098315597443E-2</v>
      </c>
      <c r="V124" s="4">
        <v>-1.9610714312513471E-2</v>
      </c>
      <c r="Y124" s="2" t="e">
        <v>#NUM!</v>
      </c>
      <c r="AA124" s="2" t="e">
        <v>#NUM!</v>
      </c>
      <c r="AB124" s="2" t="e">
        <f t="shared" si="10"/>
        <v>#DIV/0!</v>
      </c>
    </row>
    <row r="125" spans="9:28">
      <c r="R125" s="2">
        <v>6400</v>
      </c>
      <c r="S125" s="2">
        <v>823</v>
      </c>
      <c r="T125" s="2">
        <v>186.63426488456867</v>
      </c>
      <c r="U125" s="4">
        <v>-4.5381088925780842E-4</v>
      </c>
      <c r="V125" s="4">
        <v>-3.4693626400013174E-2</v>
      </c>
      <c r="Y125" s="2" t="e">
        <v>#NUM!</v>
      </c>
      <c r="AA125" s="2" t="e">
        <v>#NUM!</v>
      </c>
      <c r="AB125" s="2" t="e">
        <f t="shared" si="10"/>
        <v>#DIV/0!</v>
      </c>
    </row>
    <row r="126" spans="9:28">
      <c r="R126" s="2">
        <v>5950</v>
      </c>
      <c r="S126" s="2">
        <v>765</v>
      </c>
      <c r="T126" s="2">
        <v>186.66666666666666</v>
      </c>
      <c r="U126" s="4">
        <v>-2.8027856475954188E-4</v>
      </c>
      <c r="V126" s="4">
        <v>-3.4526038487929962E-2</v>
      </c>
      <c r="W126" s="2">
        <v>1480</v>
      </c>
      <c r="Y126" s="2">
        <v>18.044226044226043</v>
      </c>
      <c r="AA126" s="2">
        <v>16.102526351351351</v>
      </c>
      <c r="AB126" s="2" t="e">
        <f t="shared" si="10"/>
        <v>#DIV/0!</v>
      </c>
    </row>
    <row r="127" spans="9:28">
      <c r="R127" s="2">
        <v>6300</v>
      </c>
      <c r="S127" s="2">
        <v>805</v>
      </c>
      <c r="T127" s="2">
        <v>187.82608695652175</v>
      </c>
      <c r="U127" s="4">
        <v>5.9291606988134847E-3</v>
      </c>
      <c r="V127" s="4">
        <v>-2.8529305807730672E-2</v>
      </c>
      <c r="Y127" s="2" t="e">
        <v>#NUM!</v>
      </c>
      <c r="AA127" s="2" t="e">
        <v>#NUM!</v>
      </c>
      <c r="AB127" s="2" t="e">
        <f t="shared" si="10"/>
        <v>#DIV/0!</v>
      </c>
    </row>
    <row r="128" spans="9:28">
      <c r="P128" s="2">
        <v>8</v>
      </c>
      <c r="Q128" s="2" t="s">
        <v>133</v>
      </c>
      <c r="R128" s="2">
        <v>6300</v>
      </c>
      <c r="S128" s="2">
        <v>807</v>
      </c>
      <c r="T128" s="2">
        <v>187.36059479553904</v>
      </c>
      <c r="U128" s="4">
        <v>3.4361516264496345E-3</v>
      </c>
      <c r="V128" s="4">
        <v>-3.0936915954427744E-2</v>
      </c>
      <c r="Y128" s="2" t="e">
        <v>#NUM!</v>
      </c>
      <c r="AA128" s="2" t="e">
        <v>#NUM!</v>
      </c>
      <c r="AB128" s="2" t="e">
        <f t="shared" si="10"/>
        <v>#DIV/0!</v>
      </c>
    </row>
    <row r="129" spans="17:28">
      <c r="R129" s="2">
        <v>6400</v>
      </c>
      <c r="S129" s="2">
        <v>803</v>
      </c>
      <c r="T129" s="2">
        <v>191.2826899128269</v>
      </c>
      <c r="U129" s="4">
        <v>2.4441486473400685E-2</v>
      </c>
      <c r="V129" s="4">
        <v>-1.0651126434882831E-2</v>
      </c>
      <c r="W129" s="2">
        <v>1530</v>
      </c>
      <c r="Y129" s="2">
        <v>18.321568627450979</v>
      </c>
      <c r="AA129" s="2">
        <v>16.350024705882351</v>
      </c>
      <c r="AB129" s="2" t="e">
        <f t="shared" si="10"/>
        <v>#DIV/0!</v>
      </c>
    </row>
    <row r="130" spans="17:28">
      <c r="R130" s="2">
        <v>6350</v>
      </c>
      <c r="S130" s="2">
        <v>804</v>
      </c>
      <c r="T130" s="2">
        <v>189.55223880597015</v>
      </c>
      <c r="U130" s="4">
        <v>1.517381094569998E-2</v>
      </c>
      <c r="V130" s="4">
        <v>-1.9601334392061034E-2</v>
      </c>
      <c r="Y130" s="2" t="e">
        <v>#NUM!</v>
      </c>
      <c r="AA130" s="2" t="e">
        <v>#NUM!</v>
      </c>
      <c r="AB130" s="2" t="e">
        <f t="shared" si="10"/>
        <v>#DIV/0!</v>
      </c>
    </row>
    <row r="131" spans="17:28">
      <c r="R131" s="2">
        <v>6250</v>
      </c>
      <c r="S131" s="2">
        <v>781</v>
      </c>
      <c r="T131" s="2">
        <v>192.06145966709346</v>
      </c>
      <c r="U131" s="4">
        <v>2.8612297983030461E-2</v>
      </c>
      <c r="V131" s="4">
        <v>-6.6231875790389774E-3</v>
      </c>
      <c r="W131" s="2">
        <v>1500</v>
      </c>
      <c r="Y131" s="2">
        <v>18.175999999999998</v>
      </c>
      <c r="AA131" s="2">
        <v>16.220120399999999</v>
      </c>
      <c r="AB131" s="2" t="e">
        <f t="shared" si="10"/>
        <v>#DIV/0!</v>
      </c>
    </row>
    <row r="132" spans="17:28">
      <c r="R132" s="2">
        <v>6250</v>
      </c>
      <c r="S132" s="2">
        <v>780</v>
      </c>
      <c r="T132" s="2">
        <v>192.30769230769232</v>
      </c>
      <c r="U132" s="4">
        <v>2.9931031698393451E-2</v>
      </c>
      <c r="V132" s="4">
        <v>-5.3496275631145437E-3</v>
      </c>
      <c r="W132" s="2">
        <v>1505</v>
      </c>
      <c r="Y132" s="2">
        <v>18.092419208698278</v>
      </c>
      <c r="AA132" s="2">
        <v>16.145533554817277</v>
      </c>
      <c r="AB132" s="2" t="e">
        <f t="shared" si="10"/>
        <v>#DIV/0!</v>
      </c>
    </row>
    <row r="133" spans="17:28">
      <c r="R133" s="2">
        <v>6250</v>
      </c>
      <c r="S133" s="2">
        <v>790</v>
      </c>
      <c r="T133" s="2">
        <v>189.87341772151899</v>
      </c>
      <c r="U133" s="4">
        <v>1.6893930031325124E-2</v>
      </c>
      <c r="V133" s="4">
        <v>-1.7940138606619475E-2</v>
      </c>
      <c r="Y133" s="2" t="e">
        <v>#NUM!</v>
      </c>
      <c r="AA133" s="2" t="e">
        <v>#NUM!</v>
      </c>
      <c r="AB133" s="2" t="e">
        <f t="shared" si="10"/>
        <v>#DIV/0!</v>
      </c>
    </row>
    <row r="134" spans="17:28">
      <c r="R134" s="2">
        <v>6250</v>
      </c>
      <c r="S134" s="2">
        <v>802</v>
      </c>
      <c r="T134" s="2">
        <v>187.03241895261846</v>
      </c>
      <c r="U134" s="4">
        <v>1.6785595071656487E-3</v>
      </c>
      <c r="V134" s="4">
        <v>-3.2634301121233646E-2</v>
      </c>
      <c r="Y134" s="2" t="e">
        <v>#NUM!</v>
      </c>
      <c r="AA134" s="2" t="e">
        <v>#NUM!</v>
      </c>
      <c r="AB134" s="2" t="e">
        <f t="shared" ref="AB134:AB165" si="11">X134*8/W134*X134/X134</f>
        <v>#DIV/0!</v>
      </c>
    </row>
    <row r="135" spans="17:28">
      <c r="R135" s="2">
        <v>6250</v>
      </c>
      <c r="S135" s="2">
        <v>798</v>
      </c>
      <c r="T135" s="2">
        <v>187.96992481203009</v>
      </c>
      <c r="U135" s="4">
        <v>6.699504667602614E-3</v>
      </c>
      <c r="V135" s="4">
        <v>-2.7785350249660841E-2</v>
      </c>
      <c r="Y135" s="2" t="e">
        <v>#NUM!</v>
      </c>
      <c r="AA135" s="2" t="e">
        <v>#NUM!</v>
      </c>
      <c r="AB135" s="2" t="e">
        <f t="shared" si="11"/>
        <v>#DIV/0!</v>
      </c>
    </row>
    <row r="136" spans="17:28">
      <c r="R136" s="2">
        <v>6225</v>
      </c>
      <c r="S136" s="2">
        <v>795</v>
      </c>
      <c r="T136" s="2">
        <v>187.9245283018868</v>
      </c>
      <c r="U136" s="4">
        <v>6.4563772400602036E-3</v>
      </c>
      <c r="V136" s="4">
        <v>-2.802014925941191E-2</v>
      </c>
      <c r="W136" s="2">
        <v>1500</v>
      </c>
      <c r="Y136" s="2">
        <v>18.50181818181818</v>
      </c>
      <c r="AA136" s="2">
        <v>16.510877999999998</v>
      </c>
      <c r="AB136" s="2" t="e">
        <f t="shared" si="11"/>
        <v>#DIV/0!</v>
      </c>
    </row>
    <row r="137" spans="17:28">
      <c r="R137" s="2">
        <v>6300</v>
      </c>
      <c r="S137" s="2">
        <v>815</v>
      </c>
      <c r="T137" s="2">
        <v>185.52147239263803</v>
      </c>
      <c r="U137" s="4">
        <v>-6.4135283895155959E-3</v>
      </c>
      <c r="V137" s="4">
        <v>-4.0449191626040805E-2</v>
      </c>
      <c r="W137" s="2">
        <v>1522</v>
      </c>
      <c r="Y137" s="2">
        <v>18.693107155656431</v>
      </c>
      <c r="AA137" s="2">
        <v>16.681582785808146</v>
      </c>
      <c r="AB137" s="2" t="e">
        <f t="shared" si="11"/>
        <v>#DIV/0!</v>
      </c>
    </row>
    <row r="138" spans="17:28">
      <c r="R138" s="2">
        <v>6450</v>
      </c>
      <c r="S138" s="2">
        <v>830</v>
      </c>
      <c r="T138" s="2">
        <v>186.50602409638554</v>
      </c>
      <c r="U138" s="4">
        <v>-1.1406225591099417E-3</v>
      </c>
      <c r="V138" s="4">
        <v>-3.5356911088198467E-2</v>
      </c>
      <c r="W138" s="2">
        <v>1565</v>
      </c>
      <c r="Y138" s="2">
        <v>18.514086552425212</v>
      </c>
      <c r="AA138" s="2">
        <v>16.521826198083065</v>
      </c>
      <c r="AB138" s="2" t="e">
        <f t="shared" si="11"/>
        <v>#DIV/0!</v>
      </c>
    </row>
    <row r="139" spans="17:28">
      <c r="R139" s="2">
        <v>6400</v>
      </c>
      <c r="S139" s="2">
        <v>832</v>
      </c>
      <c r="T139" s="2">
        <v>184.61538461538461</v>
      </c>
      <c r="U139" s="4">
        <v>-1.1266209569542366E-2</v>
      </c>
      <c r="V139" s="4">
        <v>-4.5135642460590035E-2</v>
      </c>
      <c r="W139" s="2">
        <v>1595</v>
      </c>
      <c r="Y139" s="2">
        <v>18.209632373895698</v>
      </c>
      <c r="AA139" s="2">
        <v>16.250133667711598</v>
      </c>
      <c r="AB139" s="2" t="e">
        <f t="shared" si="11"/>
        <v>#DIV/0!</v>
      </c>
    </row>
    <row r="140" spans="17:28">
      <c r="R140" s="2">
        <v>6350</v>
      </c>
      <c r="S140" s="2">
        <v>857</v>
      </c>
      <c r="T140" s="2">
        <v>177.8296382730455</v>
      </c>
      <c r="U140" s="4">
        <v>-4.7608233371828741E-2</v>
      </c>
      <c r="V140" s="4">
        <v>-8.0232757119273149E-2</v>
      </c>
      <c r="W140" s="2">
        <v>1585</v>
      </c>
      <c r="Y140" s="2">
        <v>18.875136220246631</v>
      </c>
      <c r="AA140" s="2">
        <v>16.84402410094637</v>
      </c>
      <c r="AB140" s="2" t="e">
        <f t="shared" si="11"/>
        <v>#DIV/0!</v>
      </c>
    </row>
    <row r="141" spans="17:28">
      <c r="R141" s="2">
        <v>6375</v>
      </c>
      <c r="S141" s="2">
        <v>868</v>
      </c>
      <c r="T141" s="2">
        <v>176.26728110599078</v>
      </c>
      <c r="U141" s="4">
        <v>-5.5975658042348227E-2</v>
      </c>
      <c r="V141" s="4">
        <v>-8.8313552637343334E-2</v>
      </c>
      <c r="W141" s="2">
        <v>1580</v>
      </c>
      <c r="Y141" s="2">
        <v>19.177905638665134</v>
      </c>
      <c r="AA141" s="2">
        <v>17.114213164556961</v>
      </c>
      <c r="AB141" s="2" t="e">
        <f t="shared" si="11"/>
        <v>#DIV/0!</v>
      </c>
    </row>
    <row r="142" spans="17:28">
      <c r="R142" s="2">
        <v>6425</v>
      </c>
      <c r="S142" s="2">
        <v>850</v>
      </c>
      <c r="T142" s="2">
        <v>181.41176470588235</v>
      </c>
      <c r="U142" s="4">
        <v>-2.8423648874070912E-2</v>
      </c>
      <c r="V142" s="4">
        <v>-6.1705347488479813E-2</v>
      </c>
      <c r="Y142" s="2" t="e">
        <v>#NUM!</v>
      </c>
      <c r="AA142" s="2" t="e">
        <v>#NUM!</v>
      </c>
      <c r="AB142" s="2" t="e">
        <f t="shared" si="11"/>
        <v>#DIV/0!</v>
      </c>
    </row>
    <row r="143" spans="17:28">
      <c r="Q143" s="2" t="s">
        <v>132</v>
      </c>
      <c r="R143" s="2">
        <v>6750</v>
      </c>
      <c r="S143" s="2">
        <v>883</v>
      </c>
      <c r="T143" s="2">
        <v>183.46545866364667</v>
      </c>
      <c r="U143" s="4">
        <v>-1.7424800563163482E-2</v>
      </c>
      <c r="V143" s="4">
        <v>-5.1083268696679153E-2</v>
      </c>
      <c r="W143" s="2">
        <v>1700</v>
      </c>
      <c r="Y143" s="2">
        <v>18.132192513368985</v>
      </c>
      <c r="AA143" s="2">
        <v>16.181026941176469</v>
      </c>
      <c r="AB143" s="2" t="e">
        <f t="shared" si="11"/>
        <v>#DIV/0!</v>
      </c>
    </row>
    <row r="144" spans="17:28">
      <c r="R144" s="2">
        <v>6800</v>
      </c>
      <c r="S144" s="2">
        <v>905</v>
      </c>
      <c r="T144" s="2">
        <v>180.33149171270719</v>
      </c>
      <c r="U144" s="4">
        <v>-3.4209203601630274E-2</v>
      </c>
      <c r="V144" s="4">
        <v>-6.7292715950454746E-2</v>
      </c>
      <c r="W144" s="2">
        <v>1750</v>
      </c>
      <c r="Y144" s="2">
        <v>18.052987012987014</v>
      </c>
      <c r="AA144" s="2">
        <v>16.11034457142857</v>
      </c>
      <c r="AB144" s="2" t="e">
        <f t="shared" si="11"/>
        <v>#DIV/0!</v>
      </c>
    </row>
    <row r="145" spans="16:28">
      <c r="R145" s="2">
        <v>7000</v>
      </c>
      <c r="S145" s="2">
        <v>940</v>
      </c>
      <c r="T145" s="2">
        <v>178.72340425531914</v>
      </c>
      <c r="U145" s="4">
        <v>-4.2821543306684674E-2</v>
      </c>
      <c r="V145" s="4">
        <v>-7.5610036850145723E-2</v>
      </c>
      <c r="W145" s="2">
        <v>1820</v>
      </c>
      <c r="Y145" s="2">
        <v>18.029970029970031</v>
      </c>
      <c r="AA145" s="2">
        <v>16.089804395604396</v>
      </c>
      <c r="AB145" s="2" t="e">
        <f t="shared" si="11"/>
        <v>#DIV/0!</v>
      </c>
    </row>
    <row r="146" spans="16:28">
      <c r="R146" s="2">
        <v>7300</v>
      </c>
      <c r="S146" s="2">
        <v>962</v>
      </c>
      <c r="T146" s="2">
        <v>182.12058212058213</v>
      </c>
      <c r="U146" s="4">
        <v>-2.4627477007791741E-2</v>
      </c>
      <c r="V146" s="4">
        <v>-5.8039214859771204E-2</v>
      </c>
      <c r="W146" s="2">
        <v>1900</v>
      </c>
      <c r="Y146" s="2">
        <v>17.675023923444975</v>
      </c>
      <c r="AA146" s="2">
        <v>15.773053263157895</v>
      </c>
      <c r="AB146" s="2" t="e">
        <f t="shared" si="11"/>
        <v>#DIV/0!</v>
      </c>
    </row>
    <row r="147" spans="16:28">
      <c r="R147" s="2">
        <v>7100</v>
      </c>
      <c r="S147" s="2">
        <v>930</v>
      </c>
      <c r="T147" s="2">
        <v>183.2258064516129</v>
      </c>
      <c r="U147" s="4">
        <v>-1.8708291863104971E-2</v>
      </c>
      <c r="V147" s="4">
        <v>-5.2322793538843684E-2</v>
      </c>
      <c r="W147" s="2">
        <v>1840</v>
      </c>
      <c r="Y147" s="2">
        <v>17.644268774703558</v>
      </c>
      <c r="AA147" s="2">
        <v>15.745607608695652</v>
      </c>
      <c r="AB147" s="2" t="e">
        <f t="shared" si="11"/>
        <v>#DIV/0!</v>
      </c>
    </row>
    <row r="148" spans="16:28">
      <c r="R148" s="2">
        <v>6950</v>
      </c>
      <c r="S148" s="2">
        <v>915</v>
      </c>
      <c r="T148" s="2">
        <v>182.29508196721312</v>
      </c>
      <c r="U148" s="4">
        <v>-2.3692918411018015E-2</v>
      </c>
      <c r="V148" s="4">
        <v>-5.7136669905074378E-2</v>
      </c>
      <c r="Y148" s="2" t="e">
        <v>#NUM!</v>
      </c>
      <c r="AA148" s="2" t="e">
        <v>#NUM!</v>
      </c>
      <c r="AB148" s="2" t="e">
        <f t="shared" si="11"/>
        <v>#DIV/0!</v>
      </c>
    </row>
    <row r="149" spans="16:28">
      <c r="R149" s="2">
        <v>7000</v>
      </c>
      <c r="S149" s="2">
        <v>945</v>
      </c>
      <c r="T149" s="2">
        <v>177.77777777777777</v>
      </c>
      <c r="U149" s="4">
        <v>-4.7885979585485267E-2</v>
      </c>
      <c r="V149" s="4">
        <v>-8.0500989036123766E-2</v>
      </c>
      <c r="W149" s="2">
        <v>1840</v>
      </c>
      <c r="Y149" s="2">
        <v>17.928853754940711</v>
      </c>
      <c r="AA149" s="2">
        <v>15.999569021739131</v>
      </c>
      <c r="AB149" s="2" t="e">
        <f t="shared" si="11"/>
        <v>#DIV/0!</v>
      </c>
    </row>
    <row r="150" spans="16:28">
      <c r="R150" s="2">
        <v>7150</v>
      </c>
      <c r="S150" s="2">
        <v>970</v>
      </c>
      <c r="T150" s="2">
        <v>176.90721649484536</v>
      </c>
      <c r="U150" s="4">
        <v>-5.2548393602979006E-2</v>
      </c>
      <c r="V150" s="4">
        <v>-8.5003690378472621E-2</v>
      </c>
      <c r="W150" s="2">
        <v>1880</v>
      </c>
      <c r="Y150" s="2">
        <v>18.011605415860735</v>
      </c>
      <c r="AA150" s="2">
        <v>16.073415957446809</v>
      </c>
      <c r="AB150" s="2" t="e">
        <f t="shared" si="11"/>
        <v>#DIV/0!</v>
      </c>
    </row>
    <row r="151" spans="16:28">
      <c r="R151" s="2">
        <v>7150</v>
      </c>
      <c r="S151" s="2">
        <v>975</v>
      </c>
      <c r="T151" s="2">
        <v>176</v>
      </c>
      <c r="U151" s="4">
        <v>-5.7407119789630374E-2</v>
      </c>
      <c r="V151" s="4">
        <v>-8.9695979145762494E-2</v>
      </c>
      <c r="W151" s="2">
        <v>1900</v>
      </c>
      <c r="Y151" s="2">
        <v>17.913875598086126</v>
      </c>
      <c r="AA151" s="2">
        <v>15.986202631578948</v>
      </c>
      <c r="AB151" s="2" t="e">
        <f t="shared" si="11"/>
        <v>#DIV/0!</v>
      </c>
    </row>
    <row r="152" spans="16:28">
      <c r="R152" s="2">
        <v>7400</v>
      </c>
      <c r="S152" s="2">
        <v>1050</v>
      </c>
      <c r="T152" s="2">
        <v>169.14285714285714</v>
      </c>
      <c r="U152" s="4">
        <v>-9.4131517719904537E-2</v>
      </c>
      <c r="V152" s="4">
        <v>-0.1251623695686549</v>
      </c>
      <c r="W152" s="2">
        <v>1945</v>
      </c>
      <c r="Y152" s="2">
        <v>18.845524655293293</v>
      </c>
      <c r="AA152" s="2">
        <v>16.817598971722365</v>
      </c>
      <c r="AB152" s="2" t="e">
        <f t="shared" si="11"/>
        <v>#DIV/0!</v>
      </c>
    </row>
    <row r="153" spans="16:28">
      <c r="R153" s="2">
        <v>7900</v>
      </c>
      <c r="S153" s="2">
        <v>1062</v>
      </c>
      <c r="T153" s="2">
        <v>178.5310734463277</v>
      </c>
      <c r="U153" s="4">
        <v>-4.3851598143050778E-2</v>
      </c>
      <c r="V153" s="4">
        <v>-7.6604806786276736E-2</v>
      </c>
      <c r="W153" s="2">
        <v>2025</v>
      </c>
      <c r="Y153" s="2">
        <v>18.307878787878789</v>
      </c>
      <c r="AA153" s="2">
        <v>16.337807999999999</v>
      </c>
      <c r="AB153" s="2" t="e">
        <f t="shared" si="11"/>
        <v>#DIV/0!</v>
      </c>
    </row>
    <row r="154" spans="16:28">
      <c r="R154" s="2">
        <v>8150</v>
      </c>
      <c r="S154" s="2">
        <v>1065</v>
      </c>
      <c r="T154" s="2">
        <v>183.66197183098592</v>
      </c>
      <c r="U154" s="4">
        <v>-1.6372346515427325E-2</v>
      </c>
      <c r="V154" s="4">
        <v>-5.0066866842248932E-2</v>
      </c>
      <c r="Y154" s="2" t="e">
        <v>#NUM!</v>
      </c>
      <c r="AA154" s="2" t="e">
        <v>#NUM!</v>
      </c>
      <c r="AB154" s="2" t="e">
        <f t="shared" si="11"/>
        <v>#DIV/0!</v>
      </c>
    </row>
    <row r="155" spans="16:28">
      <c r="R155" s="2">
        <v>7500</v>
      </c>
      <c r="S155" s="2">
        <v>1121</v>
      </c>
      <c r="T155" s="2">
        <v>160.57091882247994</v>
      </c>
      <c r="U155" s="4">
        <v>-0.14003974516530218</v>
      </c>
      <c r="V155" s="4">
        <v>-0.16949799411157468</v>
      </c>
      <c r="W155" s="2">
        <v>2250</v>
      </c>
      <c r="Y155" s="2">
        <v>17.392484848484848</v>
      </c>
      <c r="AA155" s="2">
        <v>15.520917600000001</v>
      </c>
      <c r="AB155" s="2" t="e">
        <f t="shared" si="11"/>
        <v>#DIV/0!</v>
      </c>
    </row>
    <row r="156" spans="16:28">
      <c r="P156" s="2">
        <v>9</v>
      </c>
      <c r="Q156" s="2" t="s">
        <v>131</v>
      </c>
      <c r="R156" s="2">
        <v>7800</v>
      </c>
      <c r="S156" s="2">
        <v>1105</v>
      </c>
      <c r="T156" s="2">
        <v>169.41176470588235</v>
      </c>
      <c r="U156" s="4">
        <v>-9.2691345252050653E-2</v>
      </c>
      <c r="V156" s="4">
        <v>-0.12377153072854147</v>
      </c>
      <c r="W156" s="2">
        <v>2250</v>
      </c>
      <c r="Y156" s="2">
        <v>17.144242424242425</v>
      </c>
      <c r="AA156" s="2">
        <v>15.299388</v>
      </c>
      <c r="AB156" s="2" t="e">
        <f t="shared" si="11"/>
        <v>#DIV/0!</v>
      </c>
    </row>
    <row r="157" spans="16:28">
      <c r="R157" s="2">
        <v>7800</v>
      </c>
      <c r="S157" s="2">
        <v>1090</v>
      </c>
      <c r="T157" s="2">
        <v>171.74311926605503</v>
      </c>
      <c r="U157" s="4">
        <v>-8.0205446333500935E-2</v>
      </c>
      <c r="V157" s="4">
        <v>-0.11171334078443887</v>
      </c>
      <c r="W157" s="2">
        <v>2180</v>
      </c>
      <c r="Y157" s="2">
        <v>17.454545454545453</v>
      </c>
      <c r="AA157" s="2">
        <v>15.5763</v>
      </c>
      <c r="AB157" s="2" t="e">
        <f t="shared" si="11"/>
        <v>#DIV/0!</v>
      </c>
    </row>
    <row r="158" spans="16:28">
      <c r="R158" s="2">
        <v>7900</v>
      </c>
      <c r="S158" s="2">
        <v>1123</v>
      </c>
      <c r="T158" s="2">
        <v>168.83348174532503</v>
      </c>
      <c r="U158" s="4">
        <v>-9.5788421396188733E-2</v>
      </c>
      <c r="V158" s="4">
        <v>-0.12676251541142111</v>
      </c>
      <c r="W158" s="2">
        <v>2230</v>
      </c>
      <c r="Y158" s="2">
        <v>17.579779861394211</v>
      </c>
      <c r="AA158" s="2">
        <v>15.688058206278027</v>
      </c>
      <c r="AB158" s="2" t="e">
        <f t="shared" si="11"/>
        <v>#DIV/0!</v>
      </c>
    </row>
    <row r="159" spans="16:28">
      <c r="R159" s="2">
        <v>7950</v>
      </c>
      <c r="S159" s="2">
        <v>1110</v>
      </c>
      <c r="T159" s="2">
        <v>171.8918918918919</v>
      </c>
      <c r="U159" s="4">
        <v>-7.9408673504614377E-2</v>
      </c>
      <c r="V159" s="4">
        <v>-0.11094386169641418</v>
      </c>
      <c r="W159" s="2">
        <v>2200</v>
      </c>
      <c r="Y159" s="2">
        <v>17.613223140495869</v>
      </c>
      <c r="AA159" s="2">
        <v>15.717902727272728</v>
      </c>
      <c r="AB159" s="2" t="e">
        <f t="shared" si="11"/>
        <v>#DIV/0!</v>
      </c>
    </row>
    <row r="160" spans="16:28">
      <c r="R160" s="2">
        <v>7950</v>
      </c>
      <c r="S160" s="2">
        <v>1112</v>
      </c>
      <c r="T160" s="2">
        <v>171.58273381294964</v>
      </c>
      <c r="U160" s="4">
        <v>-8.1064413300469443E-2</v>
      </c>
      <c r="V160" s="4">
        <v>-0.11254288352789549</v>
      </c>
      <c r="W160" s="2">
        <v>2200</v>
      </c>
      <c r="Y160" s="2">
        <v>17.644958677685949</v>
      </c>
      <c r="AA160" s="2">
        <v>15.746223272727272</v>
      </c>
      <c r="AB160" s="2" t="e">
        <f t="shared" si="11"/>
        <v>#DIV/0!</v>
      </c>
    </row>
    <row r="161" spans="17:28">
      <c r="R161" s="2">
        <v>8050</v>
      </c>
      <c r="S161" s="2">
        <v>1154</v>
      </c>
      <c r="T161" s="2">
        <v>167.41767764298095</v>
      </c>
      <c r="U161" s="4">
        <v>-0.10337096041120104</v>
      </c>
      <c r="V161" s="4">
        <v>-0.13408531181543101</v>
      </c>
      <c r="W161" s="2">
        <v>2200</v>
      </c>
      <c r="Y161" s="2">
        <v>18.311404958677684</v>
      </c>
      <c r="AA161" s="2">
        <v>16.340954727272727</v>
      </c>
      <c r="AB161" s="2" t="e">
        <f t="shared" si="11"/>
        <v>#DIV/0!</v>
      </c>
    </row>
    <row r="162" spans="17:28">
      <c r="R162" s="2">
        <v>8100</v>
      </c>
      <c r="S162" s="2">
        <v>1153</v>
      </c>
      <c r="T162" s="2">
        <v>168.60364267129228</v>
      </c>
      <c r="U162" s="4">
        <v>-9.7019357048333144E-2</v>
      </c>
      <c r="V162" s="4">
        <v>-0.12795128491847468</v>
      </c>
      <c r="W162" s="2">
        <v>2280</v>
      </c>
      <c r="Y162" s="2">
        <v>17.65358851674641</v>
      </c>
      <c r="AA162" s="2">
        <v>15.75392447368421</v>
      </c>
      <c r="AB162" s="2" t="e">
        <f t="shared" si="11"/>
        <v>#DIV/0!</v>
      </c>
    </row>
    <row r="163" spans="17:28">
      <c r="R163" s="2">
        <v>8475</v>
      </c>
      <c r="S163" s="2">
        <v>1228</v>
      </c>
      <c r="T163" s="2">
        <v>165.63517915309447</v>
      </c>
      <c r="U163" s="4">
        <v>-0.112917383056387</v>
      </c>
      <c r="V163" s="4">
        <v>-0.14330471830696662</v>
      </c>
      <c r="W163" s="2">
        <v>2400</v>
      </c>
      <c r="Y163" s="2">
        <v>17.861818181818183</v>
      </c>
      <c r="AA163" s="2">
        <v>15.939747000000001</v>
      </c>
      <c r="AB163" s="2" t="e">
        <f t="shared" si="11"/>
        <v>#DIV/0!</v>
      </c>
    </row>
    <row r="164" spans="17:28">
      <c r="R164" s="2">
        <v>7900</v>
      </c>
      <c r="S164" s="2">
        <v>1193</v>
      </c>
      <c r="T164" s="2">
        <v>158.92707460184408</v>
      </c>
      <c r="U164" s="4">
        <v>-0.14884358527067901</v>
      </c>
      <c r="V164" s="4">
        <v>-0.17800025549624979</v>
      </c>
      <c r="W164" s="2">
        <v>2300</v>
      </c>
      <c r="Y164" s="2">
        <v>18.107193675889327</v>
      </c>
      <c r="AA164" s="2">
        <v>16.158718173913044</v>
      </c>
      <c r="AB164" s="2" t="e">
        <f t="shared" si="11"/>
        <v>#DIV/0!</v>
      </c>
    </row>
    <row r="165" spans="17:28">
      <c r="R165" s="2">
        <v>7725</v>
      </c>
      <c r="S165" s="2">
        <v>1163</v>
      </c>
      <c r="T165" s="2">
        <v>159.41530524505589</v>
      </c>
      <c r="U165" s="4">
        <v>-0.14622879704231548</v>
      </c>
      <c r="V165" s="4">
        <v>-0.17547503778250004</v>
      </c>
      <c r="W165" s="2">
        <v>2250</v>
      </c>
      <c r="Y165" s="2">
        <v>18.044121212121212</v>
      </c>
      <c r="AA165" s="2">
        <v>16.102432799999999</v>
      </c>
      <c r="AB165" s="2" t="e">
        <f t="shared" si="11"/>
        <v>#DIV/0!</v>
      </c>
    </row>
    <row r="166" spans="17:28">
      <c r="R166" s="2">
        <v>7050</v>
      </c>
      <c r="S166" s="2">
        <v>1106</v>
      </c>
      <c r="T166" s="2">
        <v>152.98372513562387</v>
      </c>
      <c r="U166" s="4">
        <v>-0.18067403351761804</v>
      </c>
      <c r="V166" s="4">
        <v>-0.20874034024876198</v>
      </c>
      <c r="W166" s="2">
        <v>2200</v>
      </c>
      <c r="Y166" s="2">
        <v>17.549752066115701</v>
      </c>
      <c r="AA166" s="2">
        <v>15.661261636363637</v>
      </c>
      <c r="AB166" s="2" t="e">
        <f t="shared" ref="AB166:AB197" si="12">X166*8/W166*X166/X166</f>
        <v>#DIV/0!</v>
      </c>
    </row>
    <row r="167" spans="17:28">
      <c r="R167" s="2">
        <v>7000</v>
      </c>
      <c r="S167" s="2">
        <v>1120</v>
      </c>
      <c r="T167" s="2">
        <v>150</v>
      </c>
      <c r="U167" s="4">
        <v>-0.19665379527525317</v>
      </c>
      <c r="V167" s="4">
        <v>-0.22417270949922941</v>
      </c>
      <c r="W167" s="2">
        <v>2160</v>
      </c>
      <c r="Y167" s="2">
        <v>18.1010101010101</v>
      </c>
      <c r="AA167" s="2">
        <v>16.153199999999998</v>
      </c>
      <c r="AB167" s="2" t="e">
        <f t="shared" si="12"/>
        <v>#DIV/0!</v>
      </c>
    </row>
    <row r="168" spans="17:28">
      <c r="R168" s="2">
        <v>7100</v>
      </c>
      <c r="S168" s="2">
        <v>1155</v>
      </c>
      <c r="T168" s="2">
        <v>147.53246753246754</v>
      </c>
      <c r="U168" s="4">
        <v>-0.20986901422743512</v>
      </c>
      <c r="V168" s="4">
        <v>-0.23693523635595201</v>
      </c>
      <c r="W168" s="2">
        <v>2250</v>
      </c>
      <c r="Y168" s="2">
        <v>17.920000000000002</v>
      </c>
      <c r="AA168" s="2">
        <v>15.991668000000001</v>
      </c>
      <c r="AB168" s="2" t="e">
        <f t="shared" si="12"/>
        <v>#DIV/0!</v>
      </c>
    </row>
    <row r="169" spans="17:28">
      <c r="R169" s="2">
        <v>7150</v>
      </c>
      <c r="S169" s="2">
        <v>1145</v>
      </c>
      <c r="T169" s="2">
        <v>149.86899563318778</v>
      </c>
      <c r="U169" s="4">
        <v>-0.19735540768112628</v>
      </c>
      <c r="V169" s="4">
        <v>-0.2248502879188807</v>
      </c>
      <c r="W169" s="2">
        <v>2250</v>
      </c>
      <c r="Y169" s="2">
        <v>17.764848484848486</v>
      </c>
      <c r="AA169" s="2">
        <v>15.853211999999999</v>
      </c>
      <c r="AB169" s="2" t="e">
        <f t="shared" si="12"/>
        <v>#DIV/0!</v>
      </c>
    </row>
    <row r="170" spans="17:28">
      <c r="Q170" s="2" t="s">
        <v>130</v>
      </c>
      <c r="R170" s="2">
        <v>7200</v>
      </c>
      <c r="S170" s="2">
        <v>1165</v>
      </c>
      <c r="T170" s="2">
        <v>148.32618025751074</v>
      </c>
      <c r="U170" s="4">
        <v>-0.20561817352540049</v>
      </c>
      <c r="V170" s="4">
        <v>-0.232830009736577</v>
      </c>
      <c r="W170" s="2">
        <v>2180</v>
      </c>
      <c r="Y170" s="2">
        <v>18.655546288573813</v>
      </c>
      <c r="AA170" s="2">
        <v>16.648063761467888</v>
      </c>
      <c r="AB170" s="2" t="e">
        <f t="shared" si="12"/>
        <v>#DIV/0!</v>
      </c>
    </row>
    <row r="171" spans="17:28">
      <c r="R171" s="2">
        <v>7100</v>
      </c>
      <c r="S171" s="2">
        <v>1145</v>
      </c>
      <c r="T171" s="2">
        <v>148.82096069868996</v>
      </c>
      <c r="U171" s="4">
        <v>-0.20296830692811141</v>
      </c>
      <c r="V171" s="4">
        <v>-0.23027091527609134</v>
      </c>
      <c r="W171" s="2">
        <v>2180</v>
      </c>
      <c r="Y171" s="2">
        <v>18.335279399499584</v>
      </c>
      <c r="AA171" s="2">
        <v>16.362260091743121</v>
      </c>
      <c r="AB171" s="2" t="e">
        <f t="shared" si="12"/>
        <v>#DIV/0!</v>
      </c>
    </row>
    <row r="172" spans="17:28">
      <c r="R172" s="2">
        <v>7150</v>
      </c>
      <c r="S172" s="2">
        <v>1140</v>
      </c>
      <c r="T172" s="2">
        <v>150.52631578947367</v>
      </c>
      <c r="U172" s="4">
        <v>-0.19383503666218393</v>
      </c>
      <c r="V172" s="4">
        <v>-0.2214505084799285</v>
      </c>
      <c r="Y172" s="2" t="e">
        <v>#NUM!</v>
      </c>
      <c r="AA172" s="2" t="e">
        <v>#NUM!</v>
      </c>
      <c r="AB172" s="2" t="e">
        <f t="shared" si="12"/>
        <v>#DIV/0!</v>
      </c>
    </row>
    <row r="173" spans="17:28">
      <c r="R173" s="2">
        <v>7200</v>
      </c>
      <c r="S173" s="2">
        <v>1156</v>
      </c>
      <c r="T173" s="2">
        <v>149.48096885813149</v>
      </c>
      <c r="U173" s="4">
        <v>-0.19943353992827995</v>
      </c>
      <c r="V173" s="4">
        <v>-0.22685723299577185</v>
      </c>
      <c r="Y173" s="2" t="e">
        <v>#NUM!</v>
      </c>
      <c r="AA173" s="2" t="e">
        <v>#NUM!</v>
      </c>
      <c r="AB173" s="2" t="e">
        <f t="shared" si="12"/>
        <v>#DIV/0!</v>
      </c>
    </row>
    <row r="174" spans="17:28">
      <c r="R174" s="2">
        <v>7350</v>
      </c>
      <c r="S174" s="2">
        <v>1175</v>
      </c>
      <c r="T174" s="2">
        <v>150.12765957446808</v>
      </c>
      <c r="U174" s="4">
        <v>-0.19597009637761509</v>
      </c>
      <c r="V174" s="4">
        <v>-0.22351243095412238</v>
      </c>
      <c r="Y174" s="2" t="e">
        <v>#NUM!</v>
      </c>
      <c r="AA174" s="2" t="e">
        <v>#NUM!</v>
      </c>
      <c r="AB174" s="2" t="e">
        <f t="shared" si="12"/>
        <v>#DIV/0!</v>
      </c>
    </row>
    <row r="175" spans="17:28">
      <c r="R175" s="2">
        <v>7425</v>
      </c>
      <c r="S175" s="2">
        <v>1193</v>
      </c>
      <c r="T175" s="2">
        <v>149.37133277451801</v>
      </c>
      <c r="U175" s="4">
        <v>-0.20002071147275846</v>
      </c>
      <c r="V175" s="4">
        <v>-0.22742429076704493</v>
      </c>
      <c r="Y175" s="2" t="e">
        <v>#NUM!</v>
      </c>
      <c r="AA175" s="2" t="e">
        <v>#NUM!</v>
      </c>
      <c r="AB175" s="2" t="e">
        <f t="shared" si="12"/>
        <v>#DIV/0!</v>
      </c>
    </row>
    <row r="176" spans="17:28">
      <c r="Q176" s="2" t="s">
        <v>129</v>
      </c>
      <c r="R176" s="2">
        <v>7425</v>
      </c>
      <c r="S176" s="2">
        <v>1200</v>
      </c>
      <c r="T176" s="2">
        <v>148.5</v>
      </c>
      <c r="U176" s="4">
        <v>-0.20468725732250062</v>
      </c>
      <c r="V176" s="4">
        <v>-0.2319309824042371</v>
      </c>
      <c r="W176" s="2">
        <v>2600</v>
      </c>
      <c r="Y176" s="2">
        <v>16.111888111888113</v>
      </c>
      <c r="AA176" s="2">
        <v>14.378123076923076</v>
      </c>
      <c r="AB176" s="2" t="e">
        <f t="shared" si="12"/>
        <v>#DIV/0!</v>
      </c>
    </row>
    <row r="177" spans="16:28">
      <c r="R177" s="2">
        <v>7275</v>
      </c>
      <c r="S177" s="2">
        <v>1165</v>
      </c>
      <c r="T177" s="2">
        <v>149.87124463519314</v>
      </c>
      <c r="U177" s="4">
        <v>-0.19734336283295678</v>
      </c>
      <c r="V177" s="4">
        <v>-0.22483865567133304</v>
      </c>
      <c r="W177" s="2">
        <v>2200</v>
      </c>
      <c r="Y177" s="2">
        <v>18.48595041322314</v>
      </c>
      <c r="AA177" s="2">
        <v>16.496717727272728</v>
      </c>
      <c r="AB177" s="2" t="e">
        <f t="shared" si="12"/>
        <v>#DIV/0!</v>
      </c>
    </row>
    <row r="178" spans="16:28">
      <c r="R178" s="2">
        <v>7000</v>
      </c>
      <c r="S178" s="2">
        <v>1135</v>
      </c>
      <c r="T178" s="2">
        <v>148.01762114537445</v>
      </c>
      <c r="U178" s="4">
        <v>-0.20727070546985335</v>
      </c>
      <c r="V178" s="4">
        <v>-0.23442593360276381</v>
      </c>
      <c r="W178" s="2">
        <v>2130</v>
      </c>
      <c r="Y178" s="2">
        <v>18.601792573623559</v>
      </c>
      <c r="AA178" s="2">
        <v>16.600094366197183</v>
      </c>
      <c r="AB178" s="2" t="e">
        <f t="shared" si="12"/>
        <v>#DIV/0!</v>
      </c>
    </row>
    <row r="179" spans="16:28">
      <c r="R179" s="2">
        <v>6675</v>
      </c>
      <c r="S179" s="2">
        <v>1140</v>
      </c>
      <c r="T179" s="2">
        <v>140.52631578947367</v>
      </c>
      <c r="U179" s="4">
        <v>-0.24739145031050042</v>
      </c>
      <c r="V179" s="4">
        <v>-0.27317232784664658</v>
      </c>
      <c r="W179" s="2">
        <v>2140</v>
      </c>
      <c r="Y179" s="2">
        <v>18.596431605777401</v>
      </c>
      <c r="AA179" s="2">
        <v>16.59531028037383</v>
      </c>
      <c r="AB179" s="2" t="e">
        <f t="shared" si="12"/>
        <v>#DIV/0!</v>
      </c>
    </row>
    <row r="180" spans="16:28">
      <c r="R180" s="2">
        <v>6750</v>
      </c>
      <c r="S180" s="2">
        <v>1145</v>
      </c>
      <c r="T180" s="2">
        <v>141.48471615720524</v>
      </c>
      <c r="U180" s="4">
        <v>-0.24225860165700736</v>
      </c>
      <c r="V180" s="4">
        <v>-0.26821530677656569</v>
      </c>
      <c r="W180" s="2">
        <v>2140</v>
      </c>
      <c r="Y180" s="2">
        <v>18.677994902293968</v>
      </c>
      <c r="AA180" s="2">
        <v>16.668096728971964</v>
      </c>
      <c r="AB180" s="2" t="e">
        <f t="shared" si="12"/>
        <v>#DIV/0!</v>
      </c>
    </row>
    <row r="181" spans="16:28">
      <c r="R181" s="2">
        <v>6850</v>
      </c>
      <c r="S181" s="2">
        <v>1180</v>
      </c>
      <c r="T181" s="2">
        <v>139.32203389830508</v>
      </c>
      <c r="U181" s="4">
        <v>-0.25384115222176057</v>
      </c>
      <c r="V181" s="4">
        <v>-0.27940109289080972</v>
      </c>
      <c r="W181" s="2">
        <v>2150</v>
      </c>
      <c r="Y181" s="2">
        <v>19.15940803382664</v>
      </c>
      <c r="AA181" s="2">
        <v>17.097706046511629</v>
      </c>
      <c r="AB181" s="2" t="e">
        <f t="shared" si="12"/>
        <v>#DIV/0!</v>
      </c>
    </row>
    <row r="182" spans="16:28">
      <c r="R182" s="2">
        <v>6800</v>
      </c>
      <c r="S182" s="2">
        <v>1200</v>
      </c>
      <c r="T182" s="2">
        <v>136</v>
      </c>
      <c r="U182" s="4">
        <v>-0.27163277438289618</v>
      </c>
      <c r="V182" s="4">
        <v>-0.29658325661263463</v>
      </c>
      <c r="W182" s="2">
        <v>2150</v>
      </c>
      <c r="Y182" s="2">
        <v>19.484143763213531</v>
      </c>
      <c r="AA182" s="2">
        <v>17.387497674418604</v>
      </c>
      <c r="AB182" s="2" t="e">
        <f t="shared" si="12"/>
        <v>#DIV/0!</v>
      </c>
    </row>
    <row r="183" spans="16:28">
      <c r="R183" s="2">
        <v>7300</v>
      </c>
      <c r="S183" s="2">
        <v>1200</v>
      </c>
      <c r="T183" s="2">
        <v>146</v>
      </c>
      <c r="U183" s="4">
        <v>-0.21807636073457976</v>
      </c>
      <c r="V183" s="4">
        <v>-0.24486143724591661</v>
      </c>
      <c r="W183" s="2">
        <v>2200</v>
      </c>
      <c r="Y183" s="2">
        <v>19.041322314049587</v>
      </c>
      <c r="AA183" s="2">
        <v>16.992327272727273</v>
      </c>
      <c r="AB183" s="2" t="e">
        <f t="shared" si="12"/>
        <v>#DIV/0!</v>
      </c>
    </row>
    <row r="184" spans="16:28">
      <c r="P184" s="2">
        <v>10</v>
      </c>
      <c r="Q184" s="2" t="s">
        <v>128</v>
      </c>
      <c r="R184" s="2">
        <v>7300</v>
      </c>
      <c r="S184" s="2">
        <v>1205</v>
      </c>
      <c r="T184" s="2">
        <v>145.39419087136929</v>
      </c>
      <c r="U184" s="4">
        <v>-0.22132085716306699</v>
      </c>
      <c r="V184" s="4">
        <v>-0.24799479227809126</v>
      </c>
      <c r="W184" s="2">
        <v>2250</v>
      </c>
      <c r="Y184" s="2">
        <v>18.695757575757575</v>
      </c>
      <c r="AA184" s="2">
        <v>16.683948000000001</v>
      </c>
      <c r="AB184" s="2" t="e">
        <f t="shared" si="12"/>
        <v>#DIV/0!</v>
      </c>
    </row>
    <row r="185" spans="16:28">
      <c r="R185" s="2">
        <v>7750</v>
      </c>
      <c r="S185" s="2">
        <v>1240</v>
      </c>
      <c r="T185" s="2">
        <v>150</v>
      </c>
      <c r="U185" s="4">
        <v>-0.19665379527525317</v>
      </c>
      <c r="V185" s="4">
        <v>-0.22417270949922941</v>
      </c>
      <c r="W185" s="2">
        <v>2300</v>
      </c>
      <c r="Y185" s="2">
        <v>18.820553359683796</v>
      </c>
      <c r="AA185" s="2">
        <v>16.795314782608695</v>
      </c>
      <c r="AB185" s="2" t="e">
        <f t="shared" si="12"/>
        <v>#DIV/0!</v>
      </c>
    </row>
    <row r="186" spans="16:28">
      <c r="R186" s="2">
        <v>7600</v>
      </c>
      <c r="S186" s="2">
        <v>1240</v>
      </c>
      <c r="T186" s="2">
        <v>147.09677419354838</v>
      </c>
      <c r="U186" s="4">
        <v>-0.21220243149573215</v>
      </c>
      <c r="V186" s="4">
        <v>-0.23918872157343787</v>
      </c>
      <c r="W186" s="2">
        <v>2300</v>
      </c>
      <c r="Y186" s="2">
        <v>18.820553359683796</v>
      </c>
      <c r="AA186" s="2">
        <v>16.795314782608695</v>
      </c>
      <c r="AB186" s="2" t="e">
        <f t="shared" si="12"/>
        <v>#DIV/0!</v>
      </c>
    </row>
    <row r="187" spans="16:28">
      <c r="U187" s="4" t="e">
        <v>#NUM!</v>
      </c>
      <c r="V187" s="4" t="e">
        <v>#NUM!</v>
      </c>
      <c r="Y187" s="2" t="e">
        <v>#NUM!</v>
      </c>
      <c r="AA187" s="2" t="e">
        <v>#NUM!</v>
      </c>
      <c r="AB187" s="2" t="e">
        <f t="shared" si="12"/>
        <v>#DIV/0!</v>
      </c>
    </row>
    <row r="188" spans="16:28">
      <c r="U188" s="4" t="e">
        <v>#NUM!</v>
      </c>
      <c r="V188" s="4" t="e">
        <v>#NUM!</v>
      </c>
      <c r="Y188" s="2" t="e">
        <v>#NUM!</v>
      </c>
      <c r="AA188" s="2" t="e">
        <v>#NUM!</v>
      </c>
      <c r="AB188" s="2" t="e">
        <f t="shared" si="12"/>
        <v>#DIV/0!</v>
      </c>
    </row>
    <row r="189" spans="16:28">
      <c r="R189" s="2">
        <v>7600</v>
      </c>
      <c r="S189" s="2">
        <v>1198</v>
      </c>
      <c r="T189" s="2">
        <v>152.25375626043405</v>
      </c>
      <c r="U189" s="4">
        <v>-0.1845834850206243</v>
      </c>
      <c r="V189" s="4">
        <v>-0.21251587207935144</v>
      </c>
      <c r="Y189" s="2" t="e">
        <v>#NUM!</v>
      </c>
      <c r="AA189" s="2" t="e">
        <v>#NUM!</v>
      </c>
      <c r="AB189" s="2" t="e">
        <f t="shared" si="12"/>
        <v>#DIV/0!</v>
      </c>
    </row>
    <row r="190" spans="16:28">
      <c r="R190" s="2">
        <v>7500</v>
      </c>
      <c r="S190" s="2">
        <v>1190</v>
      </c>
      <c r="T190" s="2">
        <v>151.26050420168067</v>
      </c>
      <c r="U190" s="4">
        <v>-0.18990298683218804</v>
      </c>
      <c r="V190" s="4">
        <v>-0.21765315243619771</v>
      </c>
      <c r="W190" s="2">
        <v>2200</v>
      </c>
      <c r="Y190" s="2">
        <v>18.882644628099175</v>
      </c>
      <c r="AA190" s="2">
        <v>16.850724545454547</v>
      </c>
      <c r="AB190" s="2" t="e">
        <f t="shared" si="12"/>
        <v>#DIV/0!</v>
      </c>
    </row>
    <row r="191" spans="16:28">
      <c r="R191" s="2">
        <v>7425</v>
      </c>
      <c r="S191" s="2">
        <v>1180</v>
      </c>
      <c r="T191" s="2">
        <v>151.01694915254237</v>
      </c>
      <c r="U191" s="4">
        <v>-0.19120738032796677</v>
      </c>
      <c r="V191" s="4">
        <v>-0.21891286346193606</v>
      </c>
      <c r="W191" s="2">
        <v>2150</v>
      </c>
      <c r="Y191" s="2">
        <v>19.15940803382664</v>
      </c>
      <c r="AA191" s="2">
        <v>17.097706046511629</v>
      </c>
      <c r="AB191" s="2" t="e">
        <f t="shared" si="12"/>
        <v>#DIV/0!</v>
      </c>
    </row>
    <row r="192" spans="16:28">
      <c r="R192" s="2">
        <v>7700</v>
      </c>
      <c r="S192" s="2">
        <v>1235</v>
      </c>
      <c r="T192" s="2">
        <v>149.63562753036436</v>
      </c>
      <c r="U192" s="4">
        <v>-0.19860524354583967</v>
      </c>
      <c r="V192" s="4">
        <v>-0.22605731020489936</v>
      </c>
      <c r="W192" s="2">
        <v>3000</v>
      </c>
      <c r="Y192" s="2">
        <v>14.370909090909091</v>
      </c>
      <c r="AA192" s="2">
        <v>12.824487</v>
      </c>
      <c r="AB192" s="2" t="e">
        <f t="shared" si="12"/>
        <v>#DIV/0!</v>
      </c>
    </row>
    <row r="193" spans="17:28">
      <c r="R193" s="2">
        <v>7850</v>
      </c>
      <c r="S193" s="2">
        <v>1300</v>
      </c>
      <c r="T193" s="2">
        <v>144.92307692307693</v>
      </c>
      <c r="U193" s="4">
        <v>-0.22384397451209068</v>
      </c>
      <c r="V193" s="4">
        <v>-0.25043147933156312</v>
      </c>
      <c r="Y193" s="2" t="e">
        <v>#NUM!</v>
      </c>
      <c r="AA193" s="2" t="e">
        <v>#NUM!</v>
      </c>
      <c r="AB193" s="2" t="e">
        <f t="shared" si="12"/>
        <v>#DIV/0!</v>
      </c>
    </row>
    <row r="194" spans="17:28">
      <c r="R194" s="2">
        <v>8800</v>
      </c>
      <c r="S194" s="2">
        <v>1380</v>
      </c>
      <c r="T194" s="2">
        <v>153.04347826086956</v>
      </c>
      <c r="U194" s="4">
        <v>-0.18035401720837427</v>
      </c>
      <c r="V194" s="4">
        <v>-0.20843128621370652</v>
      </c>
      <c r="W194" s="2">
        <v>2500</v>
      </c>
      <c r="Y194" s="2">
        <v>19.269818181818181</v>
      </c>
      <c r="AA194" s="2">
        <v>17.1962352</v>
      </c>
      <c r="AB194" s="2" t="e">
        <f t="shared" si="12"/>
        <v>#DIV/0!</v>
      </c>
    </row>
    <row r="195" spans="17:28">
      <c r="R195" s="2">
        <v>8200</v>
      </c>
      <c r="S195" s="2">
        <v>1420</v>
      </c>
      <c r="T195" s="2">
        <v>138.59154929577466</v>
      </c>
      <c r="U195" s="4">
        <v>-0.25775336577544516</v>
      </c>
      <c r="V195" s="4">
        <v>-0.28317929215703447</v>
      </c>
      <c r="Y195" s="2" t="e">
        <v>#NUM!</v>
      </c>
      <c r="AA195" s="2" t="e">
        <v>#NUM!</v>
      </c>
      <c r="AB195" s="2" t="e">
        <f t="shared" si="12"/>
        <v>#DIV/0!</v>
      </c>
    </row>
    <row r="196" spans="17:28">
      <c r="R196" s="2">
        <v>9300</v>
      </c>
      <c r="S196" s="2">
        <v>1560</v>
      </c>
      <c r="T196" s="2">
        <v>143.07692307692307</v>
      </c>
      <c r="U196" s="4">
        <v>-0.23373131241639539</v>
      </c>
      <c r="V196" s="4">
        <v>-0.25998012290695732</v>
      </c>
      <c r="Y196" s="2" t="e">
        <v>#NUM!</v>
      </c>
      <c r="AA196" s="2" t="e">
        <v>#NUM!</v>
      </c>
      <c r="AB196" s="2" t="e">
        <f t="shared" si="12"/>
        <v>#DIV/0!</v>
      </c>
    </row>
    <row r="197" spans="17:28">
      <c r="S197" s="2">
        <v>1726</v>
      </c>
      <c r="U197" s="4" t="e">
        <v>#NUM!</v>
      </c>
      <c r="V197" s="4" t="e">
        <v>#NUM!</v>
      </c>
      <c r="Y197" s="2" t="e">
        <v>#NUM!</v>
      </c>
      <c r="AA197" s="2" t="e">
        <v>#NUM!</v>
      </c>
      <c r="AB197" s="2" t="e">
        <f t="shared" si="12"/>
        <v>#DIV/0!</v>
      </c>
    </row>
    <row r="198" spans="17:28">
      <c r="R198" s="2">
        <v>9900</v>
      </c>
      <c r="S198" s="2">
        <v>1705</v>
      </c>
      <c r="T198" s="2">
        <v>139.35483870967741</v>
      </c>
      <c r="U198" s="4">
        <v>-0.25366546141700946</v>
      </c>
      <c r="V198" s="4">
        <v>-0.27923142043799382</v>
      </c>
      <c r="W198" s="2">
        <v>3300</v>
      </c>
      <c r="Y198" s="2">
        <v>18.036363636363635</v>
      </c>
      <c r="AA198" s="2">
        <v>16.095510000000001</v>
      </c>
      <c r="AB198" s="2" t="e">
        <f t="shared" ref="AB198:AB229" si="13">X198*8/W198*X198/X198</f>
        <v>#DIV/0!</v>
      </c>
    </row>
    <row r="199" spans="17:28">
      <c r="R199" s="2">
        <v>9700</v>
      </c>
      <c r="S199" s="2">
        <v>1620</v>
      </c>
      <c r="T199" s="2">
        <v>143.7037037037037</v>
      </c>
      <c r="U199" s="4">
        <v>-0.23037450016493394</v>
      </c>
      <c r="V199" s="4">
        <v>-0.25673829947086674</v>
      </c>
      <c r="W199" s="2">
        <v>3100</v>
      </c>
      <c r="Y199" s="2">
        <v>18.242815249266862</v>
      </c>
      <c r="AA199" s="2">
        <v>16.279745806451611</v>
      </c>
      <c r="AB199" s="2" t="e">
        <f t="shared" si="13"/>
        <v>#DIV/0!</v>
      </c>
    </row>
    <row r="200" spans="17:28">
      <c r="R200" s="2">
        <v>9600</v>
      </c>
      <c r="S200" s="2">
        <v>1690</v>
      </c>
      <c r="T200" s="2">
        <v>136.33136094674558</v>
      </c>
      <c r="U200" s="4">
        <v>-0.26985812398981579</v>
      </c>
      <c r="V200" s="4">
        <v>-0.2948693975093587</v>
      </c>
      <c r="W200" s="2">
        <v>3200</v>
      </c>
      <c r="Y200" s="2">
        <v>18.436363636363637</v>
      </c>
      <c r="AA200" s="2">
        <v>16.452466874999999</v>
      </c>
      <c r="AB200" s="2" t="e">
        <f t="shared" si="13"/>
        <v>#DIV/0!</v>
      </c>
    </row>
    <row r="201" spans="17:28">
      <c r="R201" s="2">
        <v>10033</v>
      </c>
      <c r="S201" s="2">
        <v>1700</v>
      </c>
      <c r="T201" s="2">
        <v>141.64235294117648</v>
      </c>
      <c r="U201" s="4">
        <v>-0.24141435557615193</v>
      </c>
      <c r="V201" s="4">
        <v>-0.26739998064995463</v>
      </c>
      <c r="W201" s="2">
        <v>3175</v>
      </c>
      <c r="Y201" s="2">
        <v>18.691481746599855</v>
      </c>
      <c r="AA201" s="2">
        <v>16.680132283464566</v>
      </c>
      <c r="AB201" s="2" t="e">
        <f t="shared" si="13"/>
        <v>#DIV/0!</v>
      </c>
    </row>
    <row r="202" spans="17:28">
      <c r="R202" s="2">
        <v>10316</v>
      </c>
      <c r="S202" s="2">
        <v>1670</v>
      </c>
      <c r="T202" s="2">
        <v>148.25389221556887</v>
      </c>
      <c r="U202" s="4">
        <v>-0.20600532235300706</v>
      </c>
      <c r="V202" s="4">
        <v>-0.23320389664134611</v>
      </c>
      <c r="W202" s="2">
        <v>3050</v>
      </c>
      <c r="Y202" s="2">
        <v>19.114157973174368</v>
      </c>
      <c r="AA202" s="2">
        <v>17.057325245901641</v>
      </c>
      <c r="AB202" s="2" t="e">
        <f t="shared" si="13"/>
        <v>#DIV/0!</v>
      </c>
    </row>
    <row r="203" spans="17:28">
      <c r="Q203" s="2" t="s">
        <v>127</v>
      </c>
      <c r="R203" s="2">
        <v>10900</v>
      </c>
      <c r="S203" s="2">
        <v>1685</v>
      </c>
      <c r="T203" s="2">
        <v>155.25222551928783</v>
      </c>
      <c r="U203" s="4">
        <v>-0.16852475902673086</v>
      </c>
      <c r="V203" s="4">
        <v>-0.19700724354104218</v>
      </c>
      <c r="W203" s="2">
        <v>3150</v>
      </c>
      <c r="X203" s="2">
        <v>6800</v>
      </c>
      <c r="Y203" s="2">
        <v>18.673593073593075</v>
      </c>
      <c r="AA203" s="2">
        <v>16.664168571428572</v>
      </c>
      <c r="AB203" s="2">
        <f t="shared" si="13"/>
        <v>17.269841269841269</v>
      </c>
    </row>
    <row r="204" spans="17:28">
      <c r="R204" s="2">
        <v>11500</v>
      </c>
      <c r="S204" s="2">
        <v>1817</v>
      </c>
      <c r="T204" s="2">
        <v>151.8987341772152</v>
      </c>
      <c r="U204" s="4">
        <v>-0.18648485597493983</v>
      </c>
      <c r="V204" s="4">
        <v>-0.21435211088529552</v>
      </c>
      <c r="W204" s="2">
        <v>3320</v>
      </c>
      <c r="X204" s="2">
        <v>7200</v>
      </c>
      <c r="Y204" s="2">
        <v>19.105366922234392</v>
      </c>
      <c r="AA204" s="2">
        <v>17.049480180722892</v>
      </c>
      <c r="AB204" s="2">
        <f t="shared" si="13"/>
        <v>17.349397590361445</v>
      </c>
    </row>
    <row r="205" spans="17:28">
      <c r="R205" s="2">
        <v>12750</v>
      </c>
      <c r="S205" s="2">
        <v>1832</v>
      </c>
      <c r="T205" s="2">
        <v>167.03056768558952</v>
      </c>
      <c r="U205" s="4">
        <v>-0.1054441825117448</v>
      </c>
      <c r="V205" s="4">
        <v>-0.13608751494455676</v>
      </c>
      <c r="W205" s="2">
        <v>3475</v>
      </c>
      <c r="X205" s="2">
        <v>7300</v>
      </c>
      <c r="Y205" s="2">
        <v>18.403871811641597</v>
      </c>
      <c r="AA205" s="2">
        <v>16.423471424460431</v>
      </c>
      <c r="AB205" s="2">
        <f t="shared" si="13"/>
        <v>16.805755395683452</v>
      </c>
    </row>
    <row r="206" spans="17:28">
      <c r="R206" s="2">
        <v>14950</v>
      </c>
      <c r="S206" s="2">
        <v>1973</v>
      </c>
      <c r="T206" s="2">
        <v>181.85504308160162</v>
      </c>
      <c r="U206" s="4">
        <v>-2.6049608868933385E-2</v>
      </c>
      <c r="V206" s="4">
        <v>-5.9412631080667369E-2</v>
      </c>
      <c r="W206" s="2">
        <v>3750</v>
      </c>
      <c r="X206" s="2">
        <v>7600</v>
      </c>
      <c r="Y206" s="2">
        <v>18.366836363636363</v>
      </c>
      <c r="AA206" s="2">
        <v>16.390421279999998</v>
      </c>
      <c r="AB206" s="2">
        <f t="shared" si="13"/>
        <v>16.213333333333335</v>
      </c>
    </row>
    <row r="207" spans="17:28">
      <c r="R207" s="2">
        <v>16766</v>
      </c>
      <c r="S207" s="2">
        <v>2376</v>
      </c>
      <c r="T207" s="2">
        <v>169.35353535353536</v>
      </c>
      <c r="U207" s="4">
        <v>-9.3003200780127526E-2</v>
      </c>
      <c r="V207" s="4">
        <v>-0.12407270353293463</v>
      </c>
      <c r="Y207" s="2" t="e">
        <v>#NUM!</v>
      </c>
      <c r="AA207" s="2" t="e">
        <v>#NUM!</v>
      </c>
      <c r="AB207" s="2" t="e">
        <f t="shared" si="13"/>
        <v>#DIV/0!</v>
      </c>
    </row>
    <row r="208" spans="17:28">
      <c r="R208" s="2">
        <v>19500</v>
      </c>
      <c r="S208" s="2">
        <v>2666</v>
      </c>
      <c r="T208" s="2">
        <v>175.54388597149287</v>
      </c>
      <c r="U208" s="4">
        <v>-5.9849902947783168E-2</v>
      </c>
      <c r="V208" s="4">
        <v>-9.205508388506968E-2</v>
      </c>
      <c r="W208" s="2">
        <v>4900</v>
      </c>
      <c r="Y208" s="2">
        <v>18.993395176252321</v>
      </c>
      <c r="AA208" s="2">
        <v>16.949557469387756</v>
      </c>
      <c r="AB208" s="2" t="e">
        <f t="shared" si="13"/>
        <v>#DIV/0!</v>
      </c>
    </row>
    <row r="209" spans="16:28">
      <c r="R209" s="2">
        <v>23750</v>
      </c>
      <c r="S209" s="2">
        <v>3262</v>
      </c>
      <c r="T209" s="2">
        <v>174.7394236664623</v>
      </c>
      <c r="U209" s="4">
        <v>-6.4158314545052691E-2</v>
      </c>
      <c r="V209" s="4">
        <v>-9.6215909287882151E-2</v>
      </c>
      <c r="W209" s="2">
        <v>6000</v>
      </c>
      <c r="X209" s="2">
        <v>12000</v>
      </c>
      <c r="Y209" s="2">
        <v>18.978909090909092</v>
      </c>
      <c r="AA209" s="2">
        <v>16.9366302</v>
      </c>
      <c r="AB209" s="2">
        <f t="shared" si="13"/>
        <v>16</v>
      </c>
    </row>
    <row r="210" spans="16:28">
      <c r="R210" s="2">
        <v>24500</v>
      </c>
      <c r="S210" s="2">
        <v>3362</v>
      </c>
      <c r="T210" s="2">
        <v>174.89589530041641</v>
      </c>
      <c r="U210" s="4">
        <v>-6.332030858982525E-2</v>
      </c>
      <c r="V210" s="4">
        <v>-9.5406609529143163E-2</v>
      </c>
      <c r="W210" s="2">
        <v>6483</v>
      </c>
      <c r="Y210" s="2">
        <v>18.103403306549996</v>
      </c>
      <c r="AA210" s="2">
        <v>16.155335677926885</v>
      </c>
      <c r="AB210" s="2" t="e">
        <f t="shared" si="13"/>
        <v>#DIV/0!</v>
      </c>
    </row>
    <row r="211" spans="16:28">
      <c r="R211" s="2">
        <v>16740</v>
      </c>
      <c r="S211" s="2">
        <v>2580</v>
      </c>
      <c r="T211" s="2">
        <v>155.72093023255815</v>
      </c>
      <c r="U211" s="4">
        <v>-0.16601454467644883</v>
      </c>
      <c r="V211" s="4">
        <v>-0.19458301748943252</v>
      </c>
      <c r="Y211" s="2" t="e">
        <v>#NUM!</v>
      </c>
      <c r="AA211" s="2" t="e">
        <v>#NUM!</v>
      </c>
      <c r="AB211" s="2" t="e">
        <f t="shared" si="13"/>
        <v>#DIV/0!</v>
      </c>
    </row>
    <row r="212" spans="16:28">
      <c r="P212" s="2">
        <v>11</v>
      </c>
      <c r="Q212" s="2" t="s">
        <v>126</v>
      </c>
      <c r="R212" s="2">
        <v>18000</v>
      </c>
      <c r="S212" s="2">
        <v>2588</v>
      </c>
      <c r="T212" s="2">
        <v>166.92426584234931</v>
      </c>
      <c r="U212" s="4">
        <v>-0.10601349706055989</v>
      </c>
      <c r="V212" s="4">
        <v>-0.13663732741799867</v>
      </c>
      <c r="Y212" s="2" t="e">
        <v>#NUM!</v>
      </c>
      <c r="AA212" s="2" t="e">
        <v>#NUM!</v>
      </c>
      <c r="AB212" s="2" t="e">
        <f t="shared" si="13"/>
        <v>#DIV/0!</v>
      </c>
    </row>
    <row r="213" spans="16:28">
      <c r="R213" s="2">
        <v>19560</v>
      </c>
      <c r="S213" s="2">
        <v>2720</v>
      </c>
      <c r="T213" s="2">
        <v>172.58823529411765</v>
      </c>
      <c r="U213" s="4">
        <v>-7.567930797552655E-2</v>
      </c>
      <c r="V213" s="4">
        <v>-0.10734224692970157</v>
      </c>
      <c r="W213" s="2">
        <v>4950</v>
      </c>
      <c r="X213" s="2">
        <v>10200</v>
      </c>
      <c r="Y213" s="2">
        <v>19.182369146005509</v>
      </c>
      <c r="AA213" s="2">
        <v>17.118196363636365</v>
      </c>
      <c r="AB213" s="2">
        <f t="shared" si="13"/>
        <v>16.484848484848484</v>
      </c>
    </row>
    <row r="214" spans="16:28">
      <c r="R214" s="2">
        <v>21333</v>
      </c>
      <c r="S214" s="2">
        <v>3125</v>
      </c>
      <c r="T214" s="2">
        <v>163.83743999999999</v>
      </c>
      <c r="U214" s="4">
        <v>-0.12254542922787723</v>
      </c>
      <c r="V214" s="4">
        <v>-0.15260295228144957</v>
      </c>
      <c r="W214" s="2">
        <v>5090</v>
      </c>
      <c r="X214" s="2">
        <v>12350</v>
      </c>
      <c r="Y214" s="2">
        <v>21.432398642614753</v>
      </c>
      <c r="AA214" s="2">
        <v>19.126105108055011</v>
      </c>
      <c r="AB214" s="2">
        <f t="shared" si="13"/>
        <v>19.410609037328094</v>
      </c>
    </row>
    <row r="215" spans="16:28">
      <c r="R215" s="2">
        <v>21750</v>
      </c>
      <c r="S215" s="2">
        <v>3083</v>
      </c>
      <c r="T215" s="2">
        <v>169.31560168666883</v>
      </c>
      <c r="U215" s="4">
        <v>-9.320635989551769E-2</v>
      </c>
      <c r="V215" s="4">
        <v>-0.12426890335949346</v>
      </c>
      <c r="W215" s="2">
        <v>5750</v>
      </c>
      <c r="Y215" s="2">
        <v>18.717343873517788</v>
      </c>
      <c r="AA215" s="2">
        <v>16.70321144347826</v>
      </c>
      <c r="AB215" s="2" t="e">
        <f t="shared" si="13"/>
        <v>#DIV/0!</v>
      </c>
    </row>
    <row r="216" spans="16:28">
      <c r="R216" s="2">
        <v>21583</v>
      </c>
      <c r="S216" s="2">
        <v>3045</v>
      </c>
      <c r="T216" s="2">
        <v>170.11231527093597</v>
      </c>
      <c r="U216" s="4">
        <v>-8.8939447667693322E-2</v>
      </c>
      <c r="V216" s="4">
        <v>-0.12014815575024591</v>
      </c>
      <c r="W216" s="2">
        <v>5540</v>
      </c>
      <c r="Y216" s="2">
        <v>19.18739744010502</v>
      </c>
      <c r="AA216" s="2">
        <v>17.122683574007219</v>
      </c>
      <c r="AB216" s="2" t="e">
        <f t="shared" si="13"/>
        <v>#DIV/0!</v>
      </c>
    </row>
    <row r="217" spans="16:28">
      <c r="R217" s="2">
        <v>22190</v>
      </c>
      <c r="S217" s="2">
        <v>3080</v>
      </c>
      <c r="T217" s="2">
        <v>172.90909090909091</v>
      </c>
      <c r="U217" s="4">
        <v>-7.3960920371837297E-2</v>
      </c>
      <c r="V217" s="4">
        <v>-0.10568272331365718</v>
      </c>
      <c r="W217" s="2">
        <v>5650</v>
      </c>
      <c r="Y217" s="2">
        <v>19.030088495575221</v>
      </c>
      <c r="AA217" s="2">
        <v>16.982302300884957</v>
      </c>
      <c r="AB217" s="2" t="e">
        <f t="shared" si="13"/>
        <v>#DIV/0!</v>
      </c>
    </row>
    <row r="218" spans="16:28">
      <c r="S218" s="2">
        <v>3067</v>
      </c>
      <c r="U218" s="4" t="e">
        <v>#NUM!</v>
      </c>
      <c r="V218" s="4" t="e">
        <v>#NUM!</v>
      </c>
      <c r="W218" s="2">
        <v>5600</v>
      </c>
      <c r="X218" s="2">
        <v>12000</v>
      </c>
      <c r="Y218" s="2">
        <v>19.118961038961039</v>
      </c>
      <c r="AA218" s="2">
        <v>17.061611464285715</v>
      </c>
      <c r="AB218" s="2">
        <f t="shared" si="13"/>
        <v>17.142857142857142</v>
      </c>
    </row>
    <row r="219" spans="16:28">
      <c r="R219" s="2">
        <v>22700</v>
      </c>
      <c r="S219" s="2">
        <v>3200</v>
      </c>
      <c r="T219" s="2">
        <v>170.25</v>
      </c>
      <c r="U219" s="4">
        <v>-8.8202057637412346E-2</v>
      </c>
      <c r="V219" s="4">
        <v>-0.11943602528162536</v>
      </c>
      <c r="W219" s="2">
        <v>5950</v>
      </c>
      <c r="X219" s="2">
        <v>12500</v>
      </c>
      <c r="Y219" s="2">
        <v>18.774637127578305</v>
      </c>
      <c r="AA219" s="2">
        <v>16.75433949579832</v>
      </c>
      <c r="AB219" s="2">
        <f t="shared" si="13"/>
        <v>16.806722689075631</v>
      </c>
    </row>
    <row r="220" spans="16:28">
      <c r="R220" s="2">
        <v>23000</v>
      </c>
      <c r="S220" s="2">
        <v>3285</v>
      </c>
      <c r="T220" s="2">
        <v>168.03652968036531</v>
      </c>
      <c r="U220" s="4">
        <v>-0.10005661084107503</v>
      </c>
      <c r="V220" s="4">
        <v>-0.1308844964861991</v>
      </c>
      <c r="W220" s="2">
        <v>6025</v>
      </c>
      <c r="Y220" s="2">
        <v>19.033421350433798</v>
      </c>
      <c r="AA220" s="2">
        <v>16.98527651452282</v>
      </c>
      <c r="AB220" s="2" t="e">
        <f t="shared" si="13"/>
        <v>#DIV/0!</v>
      </c>
    </row>
    <row r="221" spans="16:28">
      <c r="R221" s="2">
        <v>22250</v>
      </c>
      <c r="S221" s="2">
        <v>3212</v>
      </c>
      <c r="T221" s="2">
        <v>166.25155666251555</v>
      </c>
      <c r="U221" s="4">
        <v>-0.10961628617057953</v>
      </c>
      <c r="V221" s="4">
        <v>-0.14011670168656815</v>
      </c>
      <c r="W221" s="2">
        <v>5700</v>
      </c>
      <c r="Y221" s="2">
        <v>19.67157894736842</v>
      </c>
      <c r="AA221" s="2">
        <v>17.554763368421053</v>
      </c>
      <c r="AB221" s="2" t="e">
        <f t="shared" si="13"/>
        <v>#DIV/0!</v>
      </c>
    </row>
    <row r="222" spans="16:28">
      <c r="R222" s="2">
        <v>21000</v>
      </c>
      <c r="S222" s="2">
        <v>3020</v>
      </c>
      <c r="T222" s="2">
        <v>166.88741721854305</v>
      </c>
      <c r="U222" s="4">
        <v>-0.10621084507445383</v>
      </c>
      <c r="V222" s="4">
        <v>-0.13682791520444063</v>
      </c>
      <c r="W222" s="2">
        <v>5500</v>
      </c>
      <c r="X222" s="2">
        <v>11500</v>
      </c>
      <c r="Y222" s="2">
        <v>19.168264462809919</v>
      </c>
      <c r="AA222" s="2">
        <v>17.105609454545455</v>
      </c>
      <c r="AB222" s="2">
        <f t="shared" si="13"/>
        <v>16.727272727272727</v>
      </c>
    </row>
    <row r="223" spans="16:28">
      <c r="R223" s="2">
        <v>20250</v>
      </c>
      <c r="S223" s="2">
        <v>2816</v>
      </c>
      <c r="T223" s="2">
        <v>172.58522727272728</v>
      </c>
      <c r="U223" s="4">
        <v>-7.5695417859311123E-2</v>
      </c>
      <c r="V223" s="4">
        <v>-0.10735780496360196</v>
      </c>
      <c r="W223" s="2">
        <v>5050</v>
      </c>
      <c r="X223" s="2">
        <v>11200</v>
      </c>
      <c r="Y223" s="2">
        <v>19.466138613861386</v>
      </c>
      <c r="AA223" s="2">
        <v>17.371430019801981</v>
      </c>
      <c r="AB223" s="2">
        <f t="shared" si="13"/>
        <v>17.742574257425744</v>
      </c>
    </row>
    <row r="224" spans="16:28">
      <c r="R224" s="2">
        <v>22000</v>
      </c>
      <c r="S224" s="2">
        <v>3096</v>
      </c>
      <c r="T224" s="2">
        <v>170.54263565891472</v>
      </c>
      <c r="U224" s="4">
        <v>-8.6634805997703901E-2</v>
      </c>
      <c r="V224" s="4">
        <v>-0.1179224604125606</v>
      </c>
      <c r="Y224" s="2" t="e">
        <v>#NUM!</v>
      </c>
      <c r="AA224" s="2" t="e">
        <v>#NUM!</v>
      </c>
      <c r="AB224" s="2" t="e">
        <f t="shared" si="13"/>
        <v>#DIV/0!</v>
      </c>
    </row>
    <row r="225" spans="16:28">
      <c r="R225" s="2">
        <v>22125</v>
      </c>
      <c r="S225" s="2">
        <v>3109</v>
      </c>
      <c r="T225" s="2">
        <v>170.7944676744934</v>
      </c>
      <c r="U225" s="4">
        <v>-8.5286084038081772E-2</v>
      </c>
      <c r="V225" s="4">
        <v>-0.11661993941050888</v>
      </c>
      <c r="W225" s="2">
        <v>5550</v>
      </c>
      <c r="Y225" s="2">
        <v>19.555380835380834</v>
      </c>
      <c r="AA225" s="2">
        <v>17.45106908108108</v>
      </c>
      <c r="AB225" s="2" t="e">
        <f t="shared" si="13"/>
        <v>#DIV/0!</v>
      </c>
    </row>
    <row r="226" spans="16:28">
      <c r="R226" s="2">
        <v>21500</v>
      </c>
      <c r="S226" s="2">
        <v>3018</v>
      </c>
      <c r="T226" s="2">
        <v>170.97415506958251</v>
      </c>
      <c r="U226" s="4">
        <v>-8.4323742792203712E-2</v>
      </c>
      <c r="V226" s="4">
        <v>-0.11569056351138141</v>
      </c>
      <c r="W226" s="2">
        <v>5500</v>
      </c>
      <c r="Y226" s="2">
        <v>19.155570247933884</v>
      </c>
      <c r="AA226" s="2">
        <v>17.094281236363635</v>
      </c>
      <c r="AB226" s="2" t="e">
        <f t="shared" si="13"/>
        <v>#DIV/0!</v>
      </c>
    </row>
    <row r="227" spans="16:28">
      <c r="R227" s="2">
        <v>21750</v>
      </c>
      <c r="S227" s="2">
        <v>3050</v>
      </c>
      <c r="T227" s="2">
        <v>171.14754098360655</v>
      </c>
      <c r="U227" s="4">
        <v>-8.3395150018977432E-2</v>
      </c>
      <c r="V227" s="4">
        <v>-0.11479378001879294</v>
      </c>
      <c r="W227" s="2">
        <v>5450</v>
      </c>
      <c r="Y227" s="2">
        <v>19.53628023352794</v>
      </c>
      <c r="AA227" s="2">
        <v>17.434023853211009</v>
      </c>
      <c r="AB227" s="2" t="e">
        <f t="shared" si="13"/>
        <v>#DIV/0!</v>
      </c>
    </row>
    <row r="228" spans="16:28">
      <c r="R228" s="2">
        <v>22500</v>
      </c>
      <c r="S228" s="2">
        <v>3176</v>
      </c>
      <c r="T228" s="2">
        <v>170.02518891687657</v>
      </c>
      <c r="U228" s="4">
        <v>-8.9406065173460766E-2</v>
      </c>
      <c r="V228" s="4">
        <v>-0.12059878910491997</v>
      </c>
      <c r="W228" s="2">
        <v>5575</v>
      </c>
      <c r="Y228" s="2">
        <v>19.887223807582551</v>
      </c>
      <c r="AA228" s="2">
        <v>17.747203156950672</v>
      </c>
      <c r="AB228" s="2" t="e">
        <f t="shared" si="13"/>
        <v>#DIV/0!</v>
      </c>
    </row>
    <row r="229" spans="16:28">
      <c r="R229" s="2">
        <v>23250</v>
      </c>
      <c r="S229" s="2">
        <v>3320</v>
      </c>
      <c r="T229" s="2">
        <v>168.07228915662651</v>
      </c>
      <c r="U229" s="4">
        <v>-9.9865095910825805E-2</v>
      </c>
      <c r="V229" s="4">
        <v>-0.13069954196901604</v>
      </c>
      <c r="W229" s="2">
        <v>5850</v>
      </c>
      <c r="Y229" s="2">
        <v>19.811655011655013</v>
      </c>
      <c r="AA229" s="2">
        <v>17.679766153846153</v>
      </c>
      <c r="AB229" s="2" t="e">
        <f t="shared" si="13"/>
        <v>#DIV/0!</v>
      </c>
    </row>
    <row r="230" spans="16:28">
      <c r="Q230" s="2" t="s">
        <v>125</v>
      </c>
      <c r="R230" s="2">
        <v>23750</v>
      </c>
      <c r="S230" s="2">
        <v>3401</v>
      </c>
      <c r="T230" s="2">
        <v>167.5977653631285</v>
      </c>
      <c r="U230" s="4">
        <v>-0.10240647516788057</v>
      </c>
      <c r="V230" s="4">
        <v>-0.13315386536226742</v>
      </c>
      <c r="W230" s="2">
        <v>6000</v>
      </c>
      <c r="X230" s="2">
        <v>12400</v>
      </c>
      <c r="Y230" s="2">
        <v>19.787636363636363</v>
      </c>
      <c r="AA230" s="2">
        <v>17.658332099999999</v>
      </c>
      <c r="AB230" s="2">
        <f t="shared" ref="AB230:AB261" si="14">X230*8/W230*X230/X230</f>
        <v>16.533333333333335</v>
      </c>
    </row>
    <row r="231" spans="16:28">
      <c r="R231" s="2">
        <v>23500</v>
      </c>
      <c r="S231" s="2">
        <v>3280</v>
      </c>
      <c r="T231" s="2">
        <v>171.95121951219511</v>
      </c>
      <c r="U231" s="4">
        <v>-7.9090936047241503E-2</v>
      </c>
      <c r="V231" s="4">
        <v>-0.11063700845033621</v>
      </c>
      <c r="Y231" s="2" t="e">
        <v>#NUM!</v>
      </c>
      <c r="AA231" s="2" t="e">
        <v>#NUM!</v>
      </c>
      <c r="AB231" s="2" t="e">
        <f t="shared" si="14"/>
        <v>#DIV/0!</v>
      </c>
    </row>
    <row r="232" spans="16:28">
      <c r="R232" s="2">
        <v>22750</v>
      </c>
      <c r="S232" s="2">
        <v>3240</v>
      </c>
      <c r="T232" s="2">
        <v>168.5185185185185</v>
      </c>
      <c r="U232" s="4">
        <v>-9.7475251482074615E-2</v>
      </c>
      <c r="V232" s="4">
        <v>-0.12839156252382569</v>
      </c>
      <c r="W232" s="2">
        <v>5700</v>
      </c>
      <c r="Y232" s="2">
        <v>19.843062200956936</v>
      </c>
      <c r="AA232" s="2">
        <v>17.707793684210525</v>
      </c>
      <c r="AB232" s="2" t="e">
        <f t="shared" si="14"/>
        <v>#DIV/0!</v>
      </c>
    </row>
    <row r="233" spans="16:28">
      <c r="R233" s="2">
        <v>21750</v>
      </c>
      <c r="S233" s="2">
        <v>3046</v>
      </c>
      <c r="T233" s="2">
        <v>171.37229152987524</v>
      </c>
      <c r="U233" s="4">
        <v>-8.2191466696612314E-2</v>
      </c>
      <c r="V233" s="4">
        <v>-0.11363132930312488</v>
      </c>
      <c r="X233" s="2">
        <v>11700</v>
      </c>
      <c r="Y233" s="2" t="e">
        <v>#NUM!</v>
      </c>
      <c r="AA233" s="2" t="e">
        <v>#NUM!</v>
      </c>
      <c r="AB233" s="2" t="e">
        <f t="shared" si="14"/>
        <v>#DIV/0!</v>
      </c>
    </row>
    <row r="234" spans="16:28">
      <c r="R234" s="2">
        <v>21750</v>
      </c>
      <c r="S234" s="2">
        <v>3035</v>
      </c>
      <c r="T234" s="2">
        <v>171.99341021416805</v>
      </c>
      <c r="U234" s="4">
        <v>-7.8864977778543927E-2</v>
      </c>
      <c r="V234" s="4">
        <v>-0.11041879046369625</v>
      </c>
      <c r="W234" s="2">
        <v>5237</v>
      </c>
      <c r="Y234" s="2">
        <v>20.230874720086099</v>
      </c>
      <c r="AA234" s="2">
        <v>18.053874546496086</v>
      </c>
      <c r="AB234" s="2" t="e">
        <f t="shared" si="14"/>
        <v>#DIV/0!</v>
      </c>
    </row>
    <row r="235" spans="16:28">
      <c r="R235" s="2">
        <v>22750</v>
      </c>
      <c r="S235" s="2">
        <v>3202</v>
      </c>
      <c r="T235" s="2">
        <v>170.51842598376015</v>
      </c>
      <c r="U235" s="4">
        <v>-8.676446433539084E-2</v>
      </c>
      <c r="V235" s="4">
        <v>-0.11804767725708774</v>
      </c>
      <c r="W235" s="2">
        <v>5200</v>
      </c>
      <c r="X235" s="2">
        <v>12250</v>
      </c>
      <c r="Y235" s="2">
        <v>21.495944055944054</v>
      </c>
      <c r="AA235" s="2">
        <v>19.182812538461537</v>
      </c>
      <c r="AB235" s="2">
        <f t="shared" si="14"/>
        <v>18.846153846153847</v>
      </c>
    </row>
    <row r="236" spans="16:28">
      <c r="R236" s="2">
        <v>24080</v>
      </c>
      <c r="S236" s="2">
        <v>3202</v>
      </c>
      <c r="T236" s="2">
        <v>180.48719550281075</v>
      </c>
      <c r="U236" s="4">
        <v>-3.3375309942690591E-2</v>
      </c>
      <c r="V236" s="4">
        <v>-6.6487387619809782E-2</v>
      </c>
      <c r="W236" s="2">
        <v>6000</v>
      </c>
      <c r="Y236" s="2">
        <v>18.62981818181818</v>
      </c>
      <c r="AA236" s="2">
        <v>16.625104199999999</v>
      </c>
      <c r="AB236" s="2" t="e">
        <f t="shared" si="14"/>
        <v>#DIV/0!</v>
      </c>
    </row>
    <row r="237" spans="16:28">
      <c r="R237" s="2">
        <v>25166</v>
      </c>
      <c r="S237" s="2">
        <v>3360</v>
      </c>
      <c r="T237" s="2">
        <v>179.75714285714287</v>
      </c>
      <c r="U237" s="4">
        <v>-3.7285210090334288E-2</v>
      </c>
      <c r="V237" s="4">
        <v>-7.0263352726552666E-2</v>
      </c>
      <c r="W237" s="2">
        <v>6225</v>
      </c>
      <c r="X237" s="2">
        <v>13350</v>
      </c>
      <c r="Y237" s="2">
        <v>18.842497261774369</v>
      </c>
      <c r="AA237" s="2">
        <v>16.81489734939759</v>
      </c>
      <c r="AB237" s="2">
        <f t="shared" si="14"/>
        <v>17.156626506024097</v>
      </c>
    </row>
    <row r="238" spans="16:28">
      <c r="R238" s="2">
        <v>24000</v>
      </c>
      <c r="S238" s="2">
        <v>3520</v>
      </c>
      <c r="T238" s="2">
        <v>163.63636363636363</v>
      </c>
      <c r="U238" s="4">
        <v>-0.12362232211845806</v>
      </c>
      <c r="V238" s="4">
        <v>-0.15364295581734122</v>
      </c>
      <c r="W238" s="2">
        <v>6200</v>
      </c>
      <c r="Y238" s="2">
        <v>19.819354838709678</v>
      </c>
      <c r="AA238" s="2">
        <v>17.686637419354838</v>
      </c>
      <c r="AB238" s="2" t="e">
        <f t="shared" si="14"/>
        <v>#DIV/0!</v>
      </c>
    </row>
    <row r="239" spans="16:28">
      <c r="P239" s="2">
        <v>12</v>
      </c>
      <c r="Q239" s="2" t="s">
        <v>124</v>
      </c>
      <c r="R239" s="2">
        <v>26000</v>
      </c>
      <c r="S239" s="2">
        <v>3575</v>
      </c>
      <c r="T239" s="2">
        <v>174.54545454545453</v>
      </c>
      <c r="U239" s="4">
        <v>-6.5197143593021936E-2</v>
      </c>
      <c r="V239" s="4">
        <v>-9.7219152871830639E-2</v>
      </c>
      <c r="W239" s="2">
        <v>6350</v>
      </c>
      <c r="Y239" s="2">
        <v>19.653543307086615</v>
      </c>
      <c r="AA239" s="2">
        <v>17.538668503937007</v>
      </c>
      <c r="AB239" s="2" t="e">
        <f t="shared" si="14"/>
        <v>#DIV/0!</v>
      </c>
    </row>
    <row r="240" spans="16:28">
      <c r="R240" s="2">
        <v>26750</v>
      </c>
      <c r="S240" s="2">
        <v>3765</v>
      </c>
      <c r="T240" s="2">
        <v>170.51792828685259</v>
      </c>
      <c r="U240" s="4">
        <v>-8.6767129821536101E-2</v>
      </c>
      <c r="V240" s="4">
        <v>-0.11805025143604296</v>
      </c>
      <c r="Y240" s="2" t="e">
        <v>#NUM!</v>
      </c>
      <c r="AA240" s="2" t="e">
        <v>#NUM!</v>
      </c>
      <c r="AB240" s="2" t="e">
        <f t="shared" si="14"/>
        <v>#DIV/0!</v>
      </c>
    </row>
    <row r="241" spans="18:28">
      <c r="R241" s="2">
        <v>28250</v>
      </c>
      <c r="S241" s="2">
        <v>4015</v>
      </c>
      <c r="T241" s="2">
        <v>168.86674968866751</v>
      </c>
      <c r="U241" s="4">
        <v>-9.5610250222700865E-2</v>
      </c>
      <c r="V241" s="4">
        <v>-0.1265904475557949</v>
      </c>
      <c r="W241" s="2">
        <v>7000</v>
      </c>
      <c r="X241" s="2">
        <v>15000</v>
      </c>
      <c r="Y241" s="2">
        <v>20.022857142857141</v>
      </c>
      <c r="AA241" s="2">
        <v>17.868241285714287</v>
      </c>
      <c r="AB241" s="2">
        <f t="shared" si="14"/>
        <v>17.142857142857142</v>
      </c>
    </row>
    <row r="242" spans="18:28">
      <c r="R242" s="2">
        <v>28562</v>
      </c>
      <c r="S242" s="2">
        <v>4070</v>
      </c>
      <c r="T242" s="2">
        <v>168.42457002457002</v>
      </c>
      <c r="U242" s="4">
        <v>-9.7978405922428777E-2</v>
      </c>
      <c r="V242" s="4">
        <v>-0.12887748122720358</v>
      </c>
      <c r="W242" s="2">
        <v>7075</v>
      </c>
      <c r="X242" s="2">
        <v>15300</v>
      </c>
      <c r="Y242" s="2">
        <v>20.081978798586572</v>
      </c>
      <c r="AA242" s="2">
        <v>17.921000989399293</v>
      </c>
      <c r="AB242" s="2">
        <f t="shared" si="14"/>
        <v>17.300353356890458</v>
      </c>
    </row>
    <row r="243" spans="18:28">
      <c r="R243" s="2">
        <v>31500</v>
      </c>
      <c r="S243" s="2">
        <v>4355</v>
      </c>
      <c r="T243" s="2">
        <v>173.59357060849598</v>
      </c>
      <c r="U243" s="4">
        <v>-7.0295092580315952E-2</v>
      </c>
      <c r="V243" s="4">
        <v>-0.1021424697763757</v>
      </c>
      <c r="W243" s="2">
        <v>7400</v>
      </c>
      <c r="Y243" s="2">
        <v>20.544471744471746</v>
      </c>
      <c r="AA243" s="2">
        <v>18.333726081081082</v>
      </c>
      <c r="AB243" s="2" t="e">
        <f t="shared" si="14"/>
        <v>#DIV/0!</v>
      </c>
    </row>
    <row r="244" spans="18:28">
      <c r="R244" s="2">
        <v>34916</v>
      </c>
      <c r="S244" s="2">
        <v>4865</v>
      </c>
      <c r="T244" s="2">
        <v>172.24748201438848</v>
      </c>
      <c r="U244" s="4">
        <v>-7.7504260335646155E-2</v>
      </c>
      <c r="V244" s="4">
        <v>-0.10910468488797845</v>
      </c>
      <c r="Y244" s="2" t="e">
        <v>#NUM!</v>
      </c>
      <c r="AA244" s="2" t="e">
        <v>#NUM!</v>
      </c>
      <c r="AB244" s="2" t="e">
        <f t="shared" si="14"/>
        <v>#DIV/0!</v>
      </c>
    </row>
    <row r="245" spans="18:28">
      <c r="R245" s="2">
        <v>38083</v>
      </c>
      <c r="S245" s="2">
        <v>5055</v>
      </c>
      <c r="T245" s="2">
        <v>180.80949554896142</v>
      </c>
      <c r="U245" s="4">
        <v>-3.1649186483638903E-2</v>
      </c>
      <c r="V245" s="4">
        <v>-6.4820393142920776E-2</v>
      </c>
      <c r="W245" s="2">
        <v>9183</v>
      </c>
      <c r="X245" s="2">
        <v>19000</v>
      </c>
      <c r="Y245" s="2">
        <v>19.21653648540287</v>
      </c>
      <c r="AA245" s="2">
        <v>17.148687030382227</v>
      </c>
      <c r="AB245" s="2">
        <f t="shared" si="14"/>
        <v>16.552324948273984</v>
      </c>
    </row>
    <row r="246" spans="18:28">
      <c r="R246" s="2">
        <v>35750</v>
      </c>
      <c r="S246" s="2">
        <v>4965</v>
      </c>
      <c r="T246" s="2">
        <v>172.80966767371601</v>
      </c>
      <c r="U246" s="4">
        <v>-7.4493395563836495E-2</v>
      </c>
      <c r="V246" s="4">
        <v>-0.1061969583757487</v>
      </c>
      <c r="W246" s="2">
        <v>8500</v>
      </c>
      <c r="X246" s="2">
        <v>18500</v>
      </c>
      <c r="Y246" s="2">
        <v>20.391016042780748</v>
      </c>
      <c r="AA246" s="2">
        <v>18.196783411764706</v>
      </c>
      <c r="AB246" s="2">
        <f t="shared" si="14"/>
        <v>17.411764705882351</v>
      </c>
    </row>
    <row r="247" spans="18:28">
      <c r="R247" s="2">
        <v>29875</v>
      </c>
      <c r="S247" s="2">
        <v>4000</v>
      </c>
      <c r="T247" s="2">
        <v>179.25</v>
      </c>
      <c r="U247" s="4">
        <v>-4.0001285353927531E-2</v>
      </c>
      <c r="V247" s="4">
        <v>-7.2886387851579124E-2</v>
      </c>
      <c r="W247" s="2">
        <v>6950</v>
      </c>
      <c r="Y247" s="2">
        <v>20.091563113145845</v>
      </c>
      <c r="AA247" s="2">
        <v>17.929553956834532</v>
      </c>
      <c r="AB247" s="2" t="e">
        <f t="shared" si="14"/>
        <v>#DIV/0!</v>
      </c>
    </row>
    <row r="248" spans="18:28">
      <c r="R248" s="2">
        <v>23166</v>
      </c>
      <c r="S248" s="2">
        <v>3290</v>
      </c>
      <c r="T248" s="2">
        <v>168.99209726443769</v>
      </c>
      <c r="U248" s="4">
        <v>-9.493893356092474E-2</v>
      </c>
      <c r="V248" s="4">
        <v>-0.12594212708859079</v>
      </c>
      <c r="W248" s="2">
        <v>6233</v>
      </c>
      <c r="Y248" s="2">
        <v>18.426264895060019</v>
      </c>
      <c r="AA248" s="2">
        <v>16.443454837157066</v>
      </c>
      <c r="AB248" s="2" t="e">
        <f t="shared" si="14"/>
        <v>#DIV/0!</v>
      </c>
    </row>
    <row r="249" spans="18:28">
      <c r="R249" s="2">
        <v>26250</v>
      </c>
      <c r="S249" s="2">
        <v>3840</v>
      </c>
      <c r="T249" s="2">
        <v>164.0625</v>
      </c>
      <c r="U249" s="4">
        <v>-0.12134008858230814</v>
      </c>
      <c r="V249" s="4">
        <v>-0.15143890101478216</v>
      </c>
      <c r="W249" s="2">
        <v>7150</v>
      </c>
      <c r="Y249" s="2">
        <v>18.74837889383344</v>
      </c>
      <c r="AA249" s="2">
        <v>16.730906853146852</v>
      </c>
      <c r="AB249" s="2" t="e">
        <f t="shared" si="14"/>
        <v>#DIV/0!</v>
      </c>
    </row>
    <row r="250" spans="18:28">
      <c r="S250" s="2">
        <v>4225</v>
      </c>
      <c r="U250" s="4" t="e">
        <v>#NUM!</v>
      </c>
      <c r="V250" s="4" t="e">
        <v>#NUM!</v>
      </c>
      <c r="Y250" s="2" t="e">
        <v>#NUM!</v>
      </c>
      <c r="AA250" s="2" t="e">
        <v>#NUM!</v>
      </c>
      <c r="AB250" s="2" t="e">
        <f t="shared" si="14"/>
        <v>#DIV/0!</v>
      </c>
    </row>
    <row r="251" spans="18:28">
      <c r="S251" s="2">
        <v>4100</v>
      </c>
      <c r="U251" s="4" t="e">
        <v>#NUM!</v>
      </c>
      <c r="V251" s="4" t="e">
        <v>#NUM!</v>
      </c>
      <c r="Y251" s="2" t="e">
        <v>#NUM!</v>
      </c>
      <c r="AA251" s="2" t="e">
        <v>#NUM!</v>
      </c>
      <c r="AB251" s="2" t="e">
        <f t="shared" si="14"/>
        <v>#DIV/0!</v>
      </c>
    </row>
    <row r="252" spans="18:28">
      <c r="R252" s="2">
        <v>29750</v>
      </c>
      <c r="S252" s="2">
        <v>4216</v>
      </c>
      <c r="T252" s="2">
        <v>169.35483870967741</v>
      </c>
      <c r="U252" s="4">
        <v>-9.2996220472060076E-2</v>
      </c>
      <c r="V252" s="4">
        <v>-0.12406596233783969</v>
      </c>
      <c r="Y252" s="2" t="e">
        <v>#NUM!</v>
      </c>
      <c r="AA252" s="2" t="e">
        <v>#NUM!</v>
      </c>
      <c r="AB252" s="2" t="e">
        <f t="shared" si="14"/>
        <v>#DIV/0!</v>
      </c>
    </row>
    <row r="253" spans="18:28">
      <c r="R253" s="2">
        <v>30000</v>
      </c>
      <c r="S253" s="2">
        <v>4300</v>
      </c>
      <c r="T253" s="2">
        <v>167.44186046511629</v>
      </c>
      <c r="U253" s="4">
        <v>-0.10324144588865462</v>
      </c>
      <c r="V253" s="4">
        <v>-0.13396023385960484</v>
      </c>
      <c r="Y253" s="2" t="e">
        <v>#NUM!</v>
      </c>
      <c r="AA253" s="2" t="e">
        <v>#NUM!</v>
      </c>
      <c r="AB253" s="2" t="e">
        <f t="shared" si="14"/>
        <v>#DIV/0!</v>
      </c>
    </row>
    <row r="254" spans="18:28">
      <c r="R254" s="2">
        <v>31750</v>
      </c>
      <c r="S254" s="2">
        <v>4900</v>
      </c>
      <c r="T254" s="2">
        <v>155.51020408163265</v>
      </c>
      <c r="U254" s="4">
        <v>-0.16714311836699716</v>
      </c>
      <c r="V254" s="4">
        <v>-0.19567293148083376</v>
      </c>
      <c r="Y254" s="2" t="e">
        <v>#NUM!</v>
      </c>
      <c r="AA254" s="2" t="e">
        <v>#NUM!</v>
      </c>
      <c r="AB254" s="2" t="e">
        <f t="shared" si="14"/>
        <v>#DIV/0!</v>
      </c>
    </row>
    <row r="255" spans="18:28">
      <c r="R255" s="2">
        <v>36250</v>
      </c>
      <c r="S255" s="2">
        <v>4995</v>
      </c>
      <c r="T255" s="2">
        <v>174.17417417417417</v>
      </c>
      <c r="U255" s="4">
        <v>-6.7185588107401092E-2</v>
      </c>
      <c r="V255" s="4">
        <v>-9.9139482501607729E-2</v>
      </c>
      <c r="Y255" s="2" t="e">
        <v>#NUM!</v>
      </c>
      <c r="AA255" s="2" t="e">
        <v>#NUM!</v>
      </c>
      <c r="AB255" s="2" t="e">
        <f t="shared" si="14"/>
        <v>#DIV/0!</v>
      </c>
    </row>
    <row r="256" spans="18:28">
      <c r="R256" s="2">
        <v>33750</v>
      </c>
      <c r="S256" s="2">
        <v>4975</v>
      </c>
      <c r="T256" s="2">
        <v>162.8140703517588</v>
      </c>
      <c r="U256" s="4">
        <v>-0.12802623004751093</v>
      </c>
      <c r="V256" s="4">
        <v>-0.15789600629062081</v>
      </c>
      <c r="Y256" s="2" t="e">
        <v>#NUM!</v>
      </c>
      <c r="AA256" s="2" t="e">
        <v>#NUM!</v>
      </c>
      <c r="AB256" s="2" t="e">
        <f t="shared" si="14"/>
        <v>#DIV/0!</v>
      </c>
    </row>
    <row r="257" spans="16:28">
      <c r="Q257" s="2" t="s">
        <v>123</v>
      </c>
      <c r="R257" s="2">
        <v>39666</v>
      </c>
      <c r="S257" s="2">
        <v>5485</v>
      </c>
      <c r="T257" s="2">
        <v>173.56134913400183</v>
      </c>
      <c r="U257" s="4">
        <v>-7.0467659241952696E-2</v>
      </c>
      <c r="V257" s="4">
        <v>-0.10230912510472728</v>
      </c>
      <c r="Y257" s="2" t="e">
        <v>#NUM!</v>
      </c>
      <c r="AA257" s="2" t="e">
        <v>#NUM!</v>
      </c>
      <c r="AB257" s="2" t="e">
        <f t="shared" si="14"/>
        <v>#DIV/0!</v>
      </c>
    </row>
    <row r="258" spans="16:28">
      <c r="S258" s="2">
        <v>5800</v>
      </c>
      <c r="U258" s="4" t="e">
        <v>#NUM!</v>
      </c>
      <c r="V258" s="4" t="e">
        <v>#NUM!</v>
      </c>
      <c r="Y258" s="2" t="e">
        <v>#NUM!</v>
      </c>
      <c r="AA258" s="2" t="e">
        <v>#NUM!</v>
      </c>
      <c r="AB258" s="2" t="e">
        <f t="shared" si="14"/>
        <v>#DIV/0!</v>
      </c>
    </row>
    <row r="259" spans="16:28">
      <c r="R259" s="2">
        <v>38000</v>
      </c>
      <c r="S259" s="2">
        <v>5462</v>
      </c>
      <c r="T259" s="2">
        <v>166.97180519956061</v>
      </c>
      <c r="U259" s="4">
        <v>-0.10575889331262157</v>
      </c>
      <c r="V259" s="4">
        <v>-0.13639144521334942</v>
      </c>
      <c r="Y259" s="2" t="e">
        <v>#NUM!</v>
      </c>
      <c r="AA259" s="2" t="e">
        <v>#NUM!</v>
      </c>
      <c r="AB259" s="2" t="e">
        <f t="shared" si="14"/>
        <v>#DIV/0!</v>
      </c>
    </row>
    <row r="260" spans="16:28">
      <c r="R260" s="2">
        <v>35500</v>
      </c>
      <c r="S260" s="2">
        <v>4680</v>
      </c>
      <c r="T260" s="2">
        <v>182.05128205128204</v>
      </c>
      <c r="U260" s="4">
        <v>-2.4998623325520972E-2</v>
      </c>
      <c r="V260" s="4">
        <v>-5.8397647426415206E-2</v>
      </c>
      <c r="Y260" s="2" t="e">
        <v>#NUM!</v>
      </c>
      <c r="AA260" s="2" t="e">
        <v>#NUM!</v>
      </c>
      <c r="AB260" s="2" t="e">
        <f t="shared" si="14"/>
        <v>#DIV/0!</v>
      </c>
    </row>
    <row r="261" spans="16:28">
      <c r="R261" s="2">
        <v>36625</v>
      </c>
      <c r="S261" s="2">
        <v>5538</v>
      </c>
      <c r="T261" s="2">
        <v>158.72156013001083</v>
      </c>
      <c r="U261" s="4">
        <v>-0.14994424707710069</v>
      </c>
      <c r="V261" s="4">
        <v>-0.17906321373519041</v>
      </c>
      <c r="Y261" s="2" t="e">
        <v>#NUM!</v>
      </c>
      <c r="AA261" s="2" t="e">
        <v>#NUM!</v>
      </c>
      <c r="AB261" s="2" t="e">
        <f t="shared" si="14"/>
        <v>#DIV/0!</v>
      </c>
    </row>
    <row r="262" spans="16:28">
      <c r="R262" s="2">
        <v>39500</v>
      </c>
      <c r="S262" s="2">
        <v>5850</v>
      </c>
      <c r="T262" s="2">
        <v>162.05128205128204</v>
      </c>
      <c r="U262" s="4">
        <v>-0.13211145062215388</v>
      </c>
      <c r="V262" s="4">
        <v>-0.16184128615985127</v>
      </c>
      <c r="Y262" s="2" t="e">
        <v>#NUM!</v>
      </c>
      <c r="AA262" s="2" t="e">
        <v>#NUM!</v>
      </c>
      <c r="AB262" s="2" t="e">
        <f t="shared" ref="AB262:AB278" si="15">X262*8/W262*X262/X262</f>
        <v>#DIV/0!</v>
      </c>
    </row>
    <row r="263" spans="16:28">
      <c r="R263" s="2">
        <v>38333</v>
      </c>
      <c r="S263" s="2">
        <v>5262</v>
      </c>
      <c r="T263" s="2">
        <v>174.83694412770811</v>
      </c>
      <c r="U263" s="4">
        <v>-6.3636029928887186E-2</v>
      </c>
      <c r="V263" s="4">
        <v>-9.5711515719770685E-2</v>
      </c>
      <c r="Y263" s="2" t="e">
        <v>#NUM!</v>
      </c>
      <c r="AA263" s="2" t="e">
        <v>#NUM!</v>
      </c>
      <c r="AB263" s="2" t="e">
        <f t="shared" si="15"/>
        <v>#DIV/0!</v>
      </c>
    </row>
    <row r="264" spans="16:28">
      <c r="R264" s="2">
        <v>37000</v>
      </c>
      <c r="S264" s="2">
        <v>5210</v>
      </c>
      <c r="T264" s="2">
        <v>170.44145873320537</v>
      </c>
      <c r="U264" s="4">
        <v>-8.7176673326199411E-2</v>
      </c>
      <c r="V264" s="4">
        <v>-0.11844576588012251</v>
      </c>
      <c r="Y264" s="2" t="e">
        <v>#NUM!</v>
      </c>
      <c r="AA264" s="2" t="e">
        <v>#NUM!</v>
      </c>
      <c r="AB264" s="2" t="e">
        <f t="shared" si="15"/>
        <v>#DIV/0!</v>
      </c>
    </row>
    <row r="265" spans="16:28">
      <c r="R265" s="2">
        <v>35500</v>
      </c>
      <c r="S265" s="2">
        <v>4875</v>
      </c>
      <c r="T265" s="2">
        <v>174.76923076923077</v>
      </c>
      <c r="U265" s="4">
        <v>-6.3998678392500077E-2</v>
      </c>
      <c r="V265" s="4">
        <v>-9.6061741529358535E-2</v>
      </c>
      <c r="Y265" s="2" t="e">
        <v>#NUM!</v>
      </c>
      <c r="AA265" s="2" t="e">
        <v>#NUM!</v>
      </c>
      <c r="AB265" s="2" t="e">
        <f t="shared" si="15"/>
        <v>#DIV/0!</v>
      </c>
    </row>
    <row r="266" spans="16:28">
      <c r="P266" s="2">
        <v>1796</v>
      </c>
      <c r="Q266" s="2" t="s">
        <v>122</v>
      </c>
      <c r="R266" s="2">
        <v>31500</v>
      </c>
      <c r="S266" s="2">
        <v>4658</v>
      </c>
      <c r="T266" s="2">
        <v>162.3014169171318</v>
      </c>
      <c r="U266" s="4">
        <v>-0.13077181798782231</v>
      </c>
      <c r="V266" s="4">
        <v>-0.16054754312497133</v>
      </c>
      <c r="Y266" s="2" t="e">
        <v>#NUM!</v>
      </c>
      <c r="AA266" s="2" t="e">
        <v>#NUM!</v>
      </c>
      <c r="AB266" s="2" t="e">
        <f t="shared" si="15"/>
        <v>#DIV/0!</v>
      </c>
    </row>
    <row r="267" spans="16:28">
      <c r="R267" s="2">
        <v>32500</v>
      </c>
      <c r="S267" s="2">
        <v>4610</v>
      </c>
      <c r="T267" s="2">
        <v>169.19739696312365</v>
      </c>
      <c r="U267" s="4">
        <v>-9.3839422002454723E-2</v>
      </c>
      <c r="V267" s="4">
        <v>-0.1248802796954431</v>
      </c>
      <c r="Y267" s="2" t="e">
        <v>#NUM!</v>
      </c>
      <c r="AA267" s="2" t="e">
        <v>#NUM!</v>
      </c>
      <c r="AB267" s="2" t="e">
        <f t="shared" si="15"/>
        <v>#DIV/0!</v>
      </c>
    </row>
    <row r="268" spans="16:28">
      <c r="R268" s="2">
        <v>32500</v>
      </c>
      <c r="S268" s="2">
        <v>4375</v>
      </c>
      <c r="T268" s="2">
        <v>178.28571428571428</v>
      </c>
      <c r="U268" s="4">
        <v>-4.5165653812872374E-2</v>
      </c>
      <c r="V268" s="4">
        <v>-7.7873849004798407E-2</v>
      </c>
      <c r="Y268" s="2" t="e">
        <v>#NUM!</v>
      </c>
      <c r="AA268" s="2" t="e">
        <v>#NUM!</v>
      </c>
      <c r="AB268" s="2" t="e">
        <f t="shared" si="15"/>
        <v>#DIV/0!</v>
      </c>
    </row>
    <row r="269" spans="16:28">
      <c r="R269" s="2">
        <v>35250</v>
      </c>
      <c r="S269" s="2">
        <v>4908</v>
      </c>
      <c r="T269" s="2">
        <v>172.37163814180929</v>
      </c>
      <c r="U269" s="4">
        <v>-7.683932464393399E-2</v>
      </c>
      <c r="V269" s="4">
        <v>-0.10846252680840544</v>
      </c>
      <c r="W269" s="2">
        <v>7900</v>
      </c>
      <c r="X269" s="2">
        <v>17000</v>
      </c>
      <c r="Y269" s="2">
        <v>21.687825086306098</v>
      </c>
      <c r="AA269" s="2">
        <v>19.354045670886077</v>
      </c>
      <c r="AB269" s="2">
        <f t="shared" si="15"/>
        <v>17.215189873417721</v>
      </c>
    </row>
    <row r="270" spans="16:28">
      <c r="R270" s="2">
        <v>39500</v>
      </c>
      <c r="S270" s="2">
        <v>5745</v>
      </c>
      <c r="T270" s="2">
        <v>165.01305483028722</v>
      </c>
      <c r="U270" s="4">
        <v>-0.11624925781368141</v>
      </c>
      <c r="V270" s="4">
        <v>-0.14652245849175446</v>
      </c>
      <c r="W270" s="2">
        <v>8500</v>
      </c>
      <c r="X270" s="2">
        <v>18000</v>
      </c>
      <c r="Y270" s="2">
        <v>23.594438502673796</v>
      </c>
      <c r="AA270" s="2">
        <v>21.055492588235293</v>
      </c>
      <c r="AB270" s="2">
        <f t="shared" si="15"/>
        <v>16.941176470588236</v>
      </c>
    </row>
    <row r="271" spans="16:28">
      <c r="R271" s="2">
        <v>37250</v>
      </c>
      <c r="S271" s="2">
        <v>5363</v>
      </c>
      <c r="T271" s="2">
        <v>166.69774380011188</v>
      </c>
      <c r="U271" s="4">
        <v>-0.10722666788001282</v>
      </c>
      <c r="V271" s="4">
        <v>-0.13780894063311713</v>
      </c>
      <c r="W271" s="2">
        <v>9000</v>
      </c>
      <c r="Y271" s="2">
        <v>20.801939393939392</v>
      </c>
      <c r="AA271" s="2">
        <v>18.563488199999998</v>
      </c>
      <c r="AB271" s="2" t="e">
        <f t="shared" si="15"/>
        <v>#DIV/0!</v>
      </c>
    </row>
    <row r="272" spans="16:28">
      <c r="R272" s="2">
        <v>39500</v>
      </c>
      <c r="S272" s="2">
        <v>5491</v>
      </c>
      <c r="T272" s="2">
        <v>172.64614824257876</v>
      </c>
      <c r="U272" s="4">
        <v>-7.5369146993188876E-2</v>
      </c>
      <c r="V272" s="4">
        <v>-0.10704271062377162</v>
      </c>
      <c r="W272" s="2">
        <v>9000</v>
      </c>
      <c r="X272" s="2">
        <v>22000</v>
      </c>
      <c r="Y272" s="2">
        <v>21.298424242424243</v>
      </c>
      <c r="AA272" s="2">
        <v>19.006547399999999</v>
      </c>
      <c r="AB272" s="2">
        <f t="shared" si="15"/>
        <v>19.555555555555557</v>
      </c>
    </row>
    <row r="273" spans="17:28">
      <c r="R273" s="2">
        <v>39500</v>
      </c>
      <c r="S273" s="2">
        <v>5639</v>
      </c>
      <c r="T273" s="2">
        <f>R273/S273*24</f>
        <v>168.11491399184251</v>
      </c>
      <c r="U273" s="4">
        <v>-9.9636812580173845E-2</v>
      </c>
      <c r="V273" s="4">
        <v>-0.13047907856625823</v>
      </c>
      <c r="W273" s="2">
        <v>9400</v>
      </c>
      <c r="X273" s="2">
        <v>23500</v>
      </c>
      <c r="Y273" s="2">
        <v>20.941740812379109</v>
      </c>
      <c r="AA273" s="2">
        <v>18.688245893617022</v>
      </c>
      <c r="AB273" s="2">
        <f t="shared" si="15"/>
        <v>20</v>
      </c>
    </row>
    <row r="274" spans="17:28">
      <c r="R274" s="2">
        <v>39500</v>
      </c>
      <c r="S274" s="2">
        <v>5551</v>
      </c>
      <c r="T274" s="2">
        <v>170.78003963249864</v>
      </c>
      <c r="U274" s="4">
        <v>-8.5363355456602452E-2</v>
      </c>
      <c r="V274" s="4">
        <v>-0.11669456386869573</v>
      </c>
      <c r="W274" s="2">
        <v>9500</v>
      </c>
      <c r="X274" s="2">
        <v>23500</v>
      </c>
      <c r="Y274" s="2">
        <v>20.397933014354066</v>
      </c>
      <c r="AA274" s="2">
        <v>18.202956063157895</v>
      </c>
      <c r="AB274" s="2">
        <f t="shared" si="15"/>
        <v>19.789473684210527</v>
      </c>
    </row>
    <row r="275" spans="17:28">
      <c r="R275" s="2">
        <v>39833</v>
      </c>
      <c r="S275" s="2">
        <v>5559</v>
      </c>
      <c r="T275" s="2">
        <v>171.97193739881274</v>
      </c>
      <c r="U275" s="4">
        <v>-7.8979978476680215E-2</v>
      </c>
      <c r="V275" s="4">
        <v>-0.11052985177140646</v>
      </c>
      <c r="W275" s="2">
        <v>9700</v>
      </c>
      <c r="X275" s="2">
        <v>23500</v>
      </c>
      <c r="Y275" s="2">
        <v>20.006148078725399</v>
      </c>
      <c r="AA275" s="2">
        <v>17.853330247422679</v>
      </c>
      <c r="AB275" s="2">
        <f t="shared" si="15"/>
        <v>19.381443298969071</v>
      </c>
    </row>
    <row r="276" spans="17:28">
      <c r="R276" s="2">
        <v>38500</v>
      </c>
      <c r="S276" s="2">
        <v>5269</v>
      </c>
      <c r="T276" s="2">
        <v>175.36534446764091</v>
      </c>
      <c r="U276" s="4">
        <v>-6.0806107211151969E-2</v>
      </c>
      <c r="V276" s="4">
        <v>-9.2978533026239013E-2</v>
      </c>
      <c r="W276" s="2">
        <v>9400</v>
      </c>
      <c r="X276" s="2">
        <v>23000</v>
      </c>
      <c r="Y276" s="2">
        <v>19.567659574468085</v>
      </c>
      <c r="AA276" s="2">
        <v>17.462026531914894</v>
      </c>
      <c r="AB276" s="2">
        <f t="shared" si="15"/>
        <v>19.574468085106382</v>
      </c>
    </row>
    <row r="277" spans="17:28">
      <c r="R277" s="2">
        <v>38125</v>
      </c>
      <c r="S277" s="2">
        <v>4950</v>
      </c>
      <c r="T277" s="2">
        <f>R277/S277*24</f>
        <v>184.84848484848487</v>
      </c>
      <c r="U277" s="4">
        <v>-1.001780831899887E-2</v>
      </c>
      <c r="V277" s="4">
        <v>-4.3930005645515038E-2</v>
      </c>
      <c r="W277" s="2">
        <v>9000</v>
      </c>
      <c r="X277" s="2">
        <v>22000</v>
      </c>
      <c r="Y277" s="2">
        <v>19.2</v>
      </c>
      <c r="AA277" s="2">
        <v>17.133929999999999</v>
      </c>
      <c r="AB277" s="2">
        <f t="shared" si="15"/>
        <v>19.555555555555557</v>
      </c>
    </row>
    <row r="278" spans="17:28">
      <c r="R278" s="2">
        <v>37875</v>
      </c>
      <c r="S278" s="2">
        <v>5110</v>
      </c>
      <c r="T278" s="2">
        <v>177.88649706457926</v>
      </c>
      <c r="U278" s="4">
        <v>-4.7303718075936217E-2</v>
      </c>
      <c r="V278" s="4">
        <v>-7.9938673104761271E-2</v>
      </c>
      <c r="W278" s="2">
        <v>9000</v>
      </c>
      <c r="X278" s="2">
        <v>22000</v>
      </c>
      <c r="Y278" s="2">
        <v>19.82060606060606</v>
      </c>
      <c r="AA278" s="2">
        <v>17.687753999999998</v>
      </c>
      <c r="AB278" s="2">
        <f t="shared" si="15"/>
        <v>19.555555555555557</v>
      </c>
    </row>
    <row r="279" spans="17:28">
      <c r="R279" s="2">
        <v>37000</v>
      </c>
      <c r="S279" s="2">
        <v>5068</v>
      </c>
      <c r="T279" s="2">
        <v>175.21704814522494</v>
      </c>
      <c r="U279" s="4">
        <v>-6.1600329129735371E-2</v>
      </c>
      <c r="V279" s="4">
        <v>-9.3745548586313759E-2</v>
      </c>
      <c r="W279" s="2">
        <v>9050</v>
      </c>
      <c r="Y279" s="2">
        <v>19.549090909090911</v>
      </c>
      <c r="AA279" s="2">
        <v>17.445456</v>
      </c>
    </row>
    <row r="280" spans="17:28">
      <c r="R280" s="2">
        <v>37166</v>
      </c>
      <c r="S280" s="2">
        <v>5217</v>
      </c>
      <c r="T280" s="2">
        <v>170.97642323174239</v>
      </c>
      <c r="U280" s="4">
        <v>-8.4311595329118125E-2</v>
      </c>
      <c r="V280" s="4">
        <v>-0.11567883216402863</v>
      </c>
      <c r="Y280" s="2" t="e">
        <v>#NUM!</v>
      </c>
      <c r="AA280" s="2" t="e">
        <v>#NUM!</v>
      </c>
    </row>
    <row r="281" spans="17:28">
      <c r="R281" s="2">
        <v>37000</v>
      </c>
      <c r="S281" s="2">
        <v>5290</v>
      </c>
      <c r="T281" s="2">
        <v>167.86389413988658</v>
      </c>
      <c r="U281" s="4">
        <v>-0.10098118488270295</v>
      </c>
      <c r="V281" s="4">
        <v>-0.13177739891029072</v>
      </c>
      <c r="Y281" s="2" t="e">
        <v>#NUM!</v>
      </c>
      <c r="AA281" s="2" t="e">
        <v>#NUM!</v>
      </c>
    </row>
    <row r="282" spans="17:28">
      <c r="R282" s="2">
        <v>37250</v>
      </c>
      <c r="S282" s="2">
        <v>5388</v>
      </c>
      <c r="T282" s="2">
        <v>165.92427616926503</v>
      </c>
      <c r="U282" s="4">
        <v>-0.11136908311813457</v>
      </c>
      <c r="V282" s="4">
        <v>-0.14180945594198355</v>
      </c>
      <c r="W282" s="2">
        <v>9800</v>
      </c>
      <c r="Y282" s="2">
        <v>19.192875695732837</v>
      </c>
      <c r="AA282" s="2">
        <v>17.127572326530611</v>
      </c>
    </row>
    <row r="283" spans="17:28">
      <c r="R283" s="2">
        <v>37500</v>
      </c>
      <c r="S283" s="2">
        <v>5320</v>
      </c>
      <c r="T283" s="2">
        <v>169.17293233082708</v>
      </c>
      <c r="U283" s="4">
        <v>-9.3970445799157629E-2</v>
      </c>
      <c r="V283" s="4">
        <v>-0.12500681522469473</v>
      </c>
      <c r="Y283" s="2" t="e">
        <v>#NUM!</v>
      </c>
      <c r="AA283" s="2" t="e">
        <v>#NUM!</v>
      </c>
    </row>
    <row r="284" spans="17:28">
      <c r="Q284" s="2" t="s">
        <v>121</v>
      </c>
      <c r="S284" s="2">
        <v>5525</v>
      </c>
      <c r="U284" s="4" t="e">
        <v>#NUM!</v>
      </c>
      <c r="V284" s="4" t="e">
        <v>#NUM!</v>
      </c>
      <c r="Y284" s="2" t="e">
        <v>#NUM!</v>
      </c>
      <c r="AA284" s="2" t="e">
        <v>#NUM!</v>
      </c>
    </row>
    <row r="285" spans="17:28">
      <c r="R285" s="2">
        <v>38250</v>
      </c>
      <c r="S285" s="2">
        <v>5472</v>
      </c>
      <c r="T285" s="2">
        <v>167.76315789473685</v>
      </c>
      <c r="U285" s="4">
        <v>-0.10152069208416468</v>
      </c>
      <c r="V285" s="4">
        <v>-0.1322984250978223</v>
      </c>
      <c r="W285" s="2">
        <v>10150</v>
      </c>
      <c r="Y285" s="2">
        <v>18.819955217196597</v>
      </c>
      <c r="AA285" s="2">
        <v>16.794781004926108</v>
      </c>
    </row>
    <row r="286" spans="17:28">
      <c r="R286" s="2">
        <v>37000</v>
      </c>
      <c r="S286" s="2">
        <v>5204</v>
      </c>
      <c r="T286" s="2">
        <v>170.63797079169871</v>
      </c>
      <c r="U286" s="4">
        <v>-8.612422521704427E-2</v>
      </c>
      <c r="V286" s="4">
        <v>-0.11742936976084506</v>
      </c>
      <c r="W286" s="2">
        <v>9700</v>
      </c>
      <c r="Y286" s="2">
        <v>18.728547328959699</v>
      </c>
      <c r="AA286" s="2">
        <v>16.71320931958763</v>
      </c>
    </row>
    <row r="287" spans="17:28">
      <c r="R287" s="2">
        <v>36750</v>
      </c>
      <c r="S287" s="2">
        <v>5198</v>
      </c>
      <c r="T287" s="2">
        <v>169.68064640246249</v>
      </c>
      <c r="U287" s="4">
        <v>-9.1251311315599964E-2</v>
      </c>
      <c r="V287" s="4">
        <v>-0.122380825674388</v>
      </c>
      <c r="W287" s="2">
        <v>9700</v>
      </c>
      <c r="Y287" s="2">
        <v>18.706954076850984</v>
      </c>
      <c r="AA287" s="2">
        <v>16.693939670103092</v>
      </c>
    </row>
    <row r="288" spans="17:28">
      <c r="R288" s="2">
        <v>36750</v>
      </c>
      <c r="S288" s="2">
        <v>5337</v>
      </c>
      <c r="T288" s="2">
        <v>165.26138279932547</v>
      </c>
      <c r="U288" s="4">
        <v>-0.11491930227065549</v>
      </c>
      <c r="V288" s="4">
        <v>-0.14523806105592441</v>
      </c>
      <c r="W288" s="2">
        <v>9950</v>
      </c>
      <c r="Y288" s="2">
        <v>18.724604842393788</v>
      </c>
      <c r="AA288" s="2">
        <v>16.709691075376885</v>
      </c>
    </row>
    <row r="289" spans="16:27">
      <c r="R289" s="2">
        <v>36000</v>
      </c>
      <c r="S289" s="2">
        <v>5292</v>
      </c>
      <c r="T289" s="2">
        <v>163.26530612244898</v>
      </c>
      <c r="U289" s="4">
        <v>-0.12560957308871096</v>
      </c>
      <c r="V289" s="4">
        <v>-0.15556213278827691</v>
      </c>
      <c r="W289" s="2">
        <v>9900</v>
      </c>
      <c r="Y289" s="2">
        <v>18.660495867768596</v>
      </c>
      <c r="AA289" s="2">
        <v>16.652480727272728</v>
      </c>
    </row>
    <row r="290" spans="16:27">
      <c r="R290" s="2">
        <v>36750</v>
      </c>
      <c r="S290" s="2">
        <v>5233</v>
      </c>
      <c r="T290" s="2">
        <v>168.54576724632142</v>
      </c>
      <c r="U290" s="4">
        <v>-9.7329317068314297E-2</v>
      </c>
      <c r="V290" s="4">
        <v>-0.12825062714608618</v>
      </c>
      <c r="W290" s="2">
        <v>10000</v>
      </c>
      <c r="Y290" s="2">
        <v>18.267927272727274</v>
      </c>
      <c r="AA290" s="2">
        <v>16.302155580000001</v>
      </c>
    </row>
    <row r="291" spans="16:27">
      <c r="R291" s="2">
        <v>36500</v>
      </c>
      <c r="S291" s="2">
        <v>5200</v>
      </c>
      <c r="T291" s="2">
        <v>168.46153846153845</v>
      </c>
      <c r="U291" s="4">
        <v>-9.7780416232207443E-2</v>
      </c>
      <c r="V291" s="4">
        <v>-0.12868627374528843</v>
      </c>
      <c r="Y291" s="2" t="e">
        <v>#NUM!</v>
      </c>
      <c r="AA291" s="2" t="e">
        <v>#NUM!</v>
      </c>
    </row>
    <row r="292" spans="16:27">
      <c r="R292" s="2">
        <v>37000</v>
      </c>
      <c r="S292" s="2">
        <v>5291</v>
      </c>
      <c r="T292" s="2">
        <v>167.83216783216784</v>
      </c>
      <c r="U292" s="4">
        <v>-0.10115109960867483</v>
      </c>
      <c r="V292" s="4">
        <v>-0.13194149314599088</v>
      </c>
      <c r="Y292" s="2" t="e">
        <v>#NUM!</v>
      </c>
      <c r="AA292" s="2" t="e">
        <v>#NUM!</v>
      </c>
    </row>
    <row r="293" spans="16:27">
      <c r="R293" s="2">
        <v>36750</v>
      </c>
      <c r="S293" s="2">
        <v>5243</v>
      </c>
      <c r="T293" s="2">
        <v>168.22429906542055</v>
      </c>
      <c r="U293" s="4">
        <v>-9.9050985355424156E-2</v>
      </c>
      <c r="V293" s="4">
        <v>-0.12991331906455639</v>
      </c>
      <c r="W293" s="2">
        <v>9850</v>
      </c>
      <c r="Y293" s="2">
        <v>18.581559760036917</v>
      </c>
      <c r="AA293" s="2">
        <v>16.58203876142132</v>
      </c>
    </row>
    <row r="294" spans="16:27">
      <c r="P294" s="2">
        <v>2</v>
      </c>
      <c r="Q294" s="2" t="s">
        <v>120</v>
      </c>
      <c r="R294" s="2">
        <v>37750</v>
      </c>
      <c r="S294" s="2">
        <v>5336</v>
      </c>
      <c r="T294" s="2">
        <v>169.79010494752623</v>
      </c>
      <c r="U294" s="4">
        <v>-9.0665090603922277E-2</v>
      </c>
      <c r="V294" s="4">
        <v>-0.12181468616479492</v>
      </c>
      <c r="W294" s="2">
        <v>9925</v>
      </c>
      <c r="Y294" s="2">
        <v>18.768252805129379</v>
      </c>
      <c r="AA294" s="2">
        <v>16.748642176322416</v>
      </c>
    </row>
    <row r="295" spans="16:27">
      <c r="R295" s="2">
        <v>39500</v>
      </c>
      <c r="S295" s="2">
        <v>5763</v>
      </c>
      <c r="T295" s="2">
        <v>164.49765747006768</v>
      </c>
      <c r="U295" s="4">
        <v>-0.1190095412353982</v>
      </c>
      <c r="V295" s="4">
        <v>-0.1491881874084903</v>
      </c>
      <c r="W295" s="2">
        <v>10255</v>
      </c>
      <c r="Y295" s="2">
        <v>19.617853818536414</v>
      </c>
      <c r="AA295" s="2">
        <v>17.506819483178937</v>
      </c>
    </row>
    <row r="296" spans="16:27">
      <c r="R296" s="2">
        <v>39250</v>
      </c>
      <c r="S296" s="2">
        <v>5500</v>
      </c>
      <c r="T296" s="2">
        <v>171.27272727272728</v>
      </c>
      <c r="U296" s="4">
        <v>-8.2724697150652657E-2</v>
      </c>
      <c r="V296" s="4">
        <v>-0.11414629375548371</v>
      </c>
      <c r="W296" s="2">
        <v>10175</v>
      </c>
      <c r="Y296" s="2">
        <v>18.86977886977887</v>
      </c>
      <c r="AA296" s="2">
        <v>16.839243243243242</v>
      </c>
    </row>
    <row r="297" spans="16:27">
      <c r="R297" s="2">
        <v>38500</v>
      </c>
      <c r="S297" s="2">
        <v>5445</v>
      </c>
      <c r="T297" s="2">
        <v>169.69696969696969</v>
      </c>
      <c r="U297" s="4">
        <v>-9.116388960432685E-2</v>
      </c>
      <c r="V297" s="4">
        <v>-0.12229639862539088</v>
      </c>
      <c r="Y297" s="2" t="e">
        <v>#NUM!</v>
      </c>
      <c r="AA297" s="2" t="e">
        <v>#NUM!</v>
      </c>
    </row>
    <row r="298" spans="16:27">
      <c r="R298" s="2">
        <v>38750</v>
      </c>
      <c r="S298" s="2">
        <v>5495</v>
      </c>
      <c r="T298" s="2">
        <v>169.24476797088263</v>
      </c>
      <c r="U298" s="4">
        <v>-9.3585719873806955E-2</v>
      </c>
      <c r="V298" s="4">
        <v>-0.12463526822479015</v>
      </c>
      <c r="Y298" s="2" t="e">
        <v>#NUM!</v>
      </c>
      <c r="AA298" s="2" t="e">
        <v>#NUM!</v>
      </c>
    </row>
    <row r="299" spans="16:27">
      <c r="R299" s="2">
        <v>39500</v>
      </c>
      <c r="S299" s="2">
        <v>5600</v>
      </c>
      <c r="T299" s="2">
        <v>169.28571428571428</v>
      </c>
      <c r="U299" s="4">
        <v>-9.3366426096357188E-2</v>
      </c>
      <c r="V299" s="4">
        <v>-0.12442348643484465</v>
      </c>
      <c r="Y299" s="2" t="e">
        <v>#NUM!</v>
      </c>
      <c r="AA299" s="2" t="e">
        <v>#NUM!</v>
      </c>
    </row>
    <row r="300" spans="16:27">
      <c r="R300" s="2">
        <v>40250</v>
      </c>
      <c r="S300" s="2">
        <v>5602</v>
      </c>
      <c r="T300" s="2">
        <v>172.43841485183862</v>
      </c>
      <c r="U300" s="4">
        <v>-7.6481692533493531E-2</v>
      </c>
      <c r="V300" s="4">
        <v>-0.10811714551500137</v>
      </c>
      <c r="W300" s="2">
        <v>10325</v>
      </c>
      <c r="Y300" s="2">
        <v>18.94050627338763</v>
      </c>
      <c r="AA300" s="2">
        <v>16.902359825665858</v>
      </c>
    </row>
    <row r="301" spans="16:27">
      <c r="R301" s="2">
        <v>44250</v>
      </c>
      <c r="S301" s="2">
        <v>5852</v>
      </c>
      <c r="T301" s="2">
        <v>181.47641831852357</v>
      </c>
      <c r="U301" s="4">
        <v>-2.8077387311823774E-2</v>
      </c>
      <c r="V301" s="4">
        <v>-6.1370947241036304E-2</v>
      </c>
      <c r="W301" s="2">
        <v>10900</v>
      </c>
      <c r="Y301" s="2">
        <v>18.742018348623855</v>
      </c>
      <c r="AA301" s="2">
        <v>16.725230752293577</v>
      </c>
    </row>
    <row r="302" spans="16:27">
      <c r="R302" s="2">
        <v>44000</v>
      </c>
      <c r="S302" s="2">
        <v>6119</v>
      </c>
      <c r="T302" s="2">
        <v>172.57721849975485</v>
      </c>
      <c r="U302" s="4">
        <v>-7.5738309975123819E-2</v>
      </c>
      <c r="V302" s="4">
        <v>-0.10739922779450488</v>
      </c>
      <c r="W302" s="2">
        <v>11100</v>
      </c>
      <c r="Y302" s="2">
        <v>19.244029484029483</v>
      </c>
      <c r="AA302" s="2">
        <v>17.173221567567566</v>
      </c>
    </row>
    <row r="303" spans="16:27">
      <c r="R303" s="2">
        <v>46500</v>
      </c>
      <c r="S303" s="2">
        <v>6425</v>
      </c>
      <c r="T303" s="2">
        <v>173.69649805447472</v>
      </c>
      <c r="U303" s="4">
        <v>-6.9743850093055754E-2</v>
      </c>
      <c r="V303" s="4">
        <v>-0.10161011029949672</v>
      </c>
      <c r="Y303" s="2" t="e">
        <v>#NUM!</v>
      </c>
      <c r="AA303" s="2" t="e">
        <v>#NUM!</v>
      </c>
    </row>
    <row r="304" spans="16:27">
      <c r="R304" s="2">
        <v>45500</v>
      </c>
      <c r="S304" s="2">
        <v>6145</v>
      </c>
      <c r="T304" s="2">
        <v>177.70545158665581</v>
      </c>
      <c r="U304" s="4">
        <v>-4.8273332726418747E-2</v>
      </c>
      <c r="V304" s="4">
        <v>-8.0875073255393032E-2</v>
      </c>
      <c r="W304" s="2">
        <v>11187</v>
      </c>
      <c r="Y304" s="2">
        <v>19.175504034715619</v>
      </c>
      <c r="AA304" s="2">
        <v>17.112069991954947</v>
      </c>
    </row>
    <row r="305" spans="16:27">
      <c r="R305" s="2">
        <v>46500</v>
      </c>
      <c r="S305" s="2">
        <v>6220</v>
      </c>
      <c r="T305" s="2">
        <v>179.42122186495178</v>
      </c>
      <c r="U305" s="4">
        <v>-3.9084282451428184E-2</v>
      </c>
      <c r="V305" s="4">
        <v>-7.2000797214512302E-2</v>
      </c>
      <c r="Y305" s="2" t="e">
        <v>#NUM!</v>
      </c>
      <c r="AA305" s="2" t="e">
        <v>#NUM!</v>
      </c>
    </row>
    <row r="306" spans="16:27">
      <c r="R306" s="2">
        <v>47750</v>
      </c>
      <c r="S306" s="2">
        <v>6485</v>
      </c>
      <c r="T306" s="2">
        <v>176.71549730146492</v>
      </c>
      <c r="U306" s="4">
        <v>-5.3575172845479427E-2</v>
      </c>
      <c r="V306" s="4">
        <v>-8.5995296927388207E-2</v>
      </c>
      <c r="W306" s="2">
        <v>11800</v>
      </c>
      <c r="Y306" s="2">
        <v>19.185208012326655</v>
      </c>
      <c r="AA306" s="2">
        <v>17.120729745762713</v>
      </c>
    </row>
    <row r="307" spans="16:27">
      <c r="R307" s="2">
        <v>50000</v>
      </c>
      <c r="S307" s="2">
        <v>6610</v>
      </c>
      <c r="T307" s="2">
        <v>181.54311649016643</v>
      </c>
      <c r="U307" s="4">
        <v>-2.7720175824814657E-2</v>
      </c>
      <c r="V307" s="4">
        <v>-6.1025972162456095E-2</v>
      </c>
      <c r="Y307" s="2" t="e">
        <v>#NUM!</v>
      </c>
      <c r="AA307" s="2" t="e">
        <v>#NUM!</v>
      </c>
    </row>
    <row r="308" spans="16:27">
      <c r="R308" s="2">
        <v>53000</v>
      </c>
      <c r="S308" s="2">
        <v>6865</v>
      </c>
      <c r="T308" s="2">
        <v>185.28769118718137</v>
      </c>
      <c r="U308" s="4">
        <v>-7.6655766837795195E-3</v>
      </c>
      <c r="V308" s="4">
        <v>-4.1658350554037125E-2</v>
      </c>
      <c r="Y308" s="2" t="e">
        <v>#NUM!</v>
      </c>
      <c r="AA308" s="2" t="e">
        <v>#NUM!</v>
      </c>
    </row>
    <row r="309" spans="16:27">
      <c r="R309" s="2">
        <v>53000</v>
      </c>
      <c r="S309" s="2">
        <v>6727</v>
      </c>
      <c r="T309" s="2">
        <v>189.08874684108815</v>
      </c>
      <c r="U309" s="4">
        <v>1.2691514206310865E-2</v>
      </c>
      <c r="V309" s="4">
        <v>-2.1998599160616215E-2</v>
      </c>
      <c r="Y309" s="2" t="e">
        <v>#NUM!</v>
      </c>
      <c r="AA309" s="2" t="e">
        <v>#NUM!</v>
      </c>
    </row>
    <row r="310" spans="16:27">
      <c r="S310" s="2">
        <v>6450</v>
      </c>
      <c r="U310" s="4" t="e">
        <v>#NUM!</v>
      </c>
      <c r="V310" s="4" t="e">
        <v>#NUM!</v>
      </c>
      <c r="W310" s="2">
        <v>12250</v>
      </c>
      <c r="Y310" s="2">
        <v>18.380705009276436</v>
      </c>
      <c r="AA310" s="2">
        <v>16.402797551020409</v>
      </c>
    </row>
    <row r="311" spans="16:27">
      <c r="Q311" s="2" t="s">
        <v>119</v>
      </c>
      <c r="R311" s="2">
        <v>53000</v>
      </c>
      <c r="S311" s="2">
        <v>7011</v>
      </c>
      <c r="T311" s="2">
        <v>181.42918271287976</v>
      </c>
      <c r="U311" s="4">
        <v>-2.8330364275302618E-2</v>
      </c>
      <c r="V311" s="4">
        <v>-6.161525838731495E-2</v>
      </c>
      <c r="Y311" s="2" t="e">
        <v>#NUM!</v>
      </c>
      <c r="AA311" s="2" t="e">
        <v>#NUM!</v>
      </c>
    </row>
    <row r="312" spans="16:27">
      <c r="R312" s="2">
        <v>63000</v>
      </c>
      <c r="S312" s="2">
        <v>7843</v>
      </c>
      <c r="T312" s="2">
        <v>192.78337370903992</v>
      </c>
      <c r="U312" s="4">
        <v>3.2478610687931744E-2</v>
      </c>
      <c r="V312" s="4">
        <v>-2.8893168114537547E-3</v>
      </c>
      <c r="W312" s="2">
        <v>15100</v>
      </c>
      <c r="Y312" s="2">
        <v>18.131920529801324</v>
      </c>
      <c r="AA312" s="2">
        <v>16.180784225165564</v>
      </c>
    </row>
    <row r="313" spans="16:27">
      <c r="R313" s="2">
        <v>61000</v>
      </c>
      <c r="S313" s="2">
        <v>8137</v>
      </c>
      <c r="T313" s="2">
        <v>179.91888902543934</v>
      </c>
      <c r="U313" s="4">
        <v>-3.6418955620802669E-2</v>
      </c>
      <c r="V313" s="4">
        <v>-6.9426772116563756E-2</v>
      </c>
      <c r="W313" s="2">
        <v>46.5</v>
      </c>
      <c r="Y313" s="2">
        <f>32*24/22/W313*24</f>
        <v>18.017595307917887</v>
      </c>
      <c r="AA313" s="2">
        <f>31.1526*24/W313</f>
        <v>16.078761290322579</v>
      </c>
    </row>
    <row r="314" spans="16:27">
      <c r="R314" s="2">
        <v>58500</v>
      </c>
      <c r="S314" s="2">
        <v>7350</v>
      </c>
      <c r="T314" s="2">
        <v>191.0204081632653</v>
      </c>
      <c r="U314" s="4">
        <v>2.3036799486208192E-2</v>
      </c>
      <c r="V314" s="4">
        <v>-1.2007695362283992E-2</v>
      </c>
    </row>
    <row r="315" spans="16:27">
      <c r="R315" s="2">
        <v>59500</v>
      </c>
      <c r="S315" s="2">
        <v>7550</v>
      </c>
      <c r="T315" s="2">
        <v>189.13907284768212</v>
      </c>
      <c r="U315" s="4">
        <v>1.2961042248952283E-2</v>
      </c>
      <c r="V315" s="4">
        <v>-2.1738303898366094E-2</v>
      </c>
    </row>
    <row r="316" spans="16:27">
      <c r="R316" s="2">
        <v>59000</v>
      </c>
      <c r="S316" s="2">
        <v>7650</v>
      </c>
      <c r="T316" s="2">
        <v>185.09803921568627</v>
      </c>
      <c r="U316" s="4">
        <v>-8.6812846272405243E-3</v>
      </c>
      <c r="V316" s="4">
        <v>-4.2639265055258259E-2</v>
      </c>
    </row>
    <row r="317" spans="16:27">
      <c r="R317" s="2">
        <v>57000</v>
      </c>
      <c r="S317" s="2">
        <v>7500</v>
      </c>
      <c r="T317" s="2">
        <v>182.4</v>
      </c>
      <c r="U317" s="4">
        <v>-2.3131015054707816E-2</v>
      </c>
      <c r="V317" s="4">
        <v>-5.6594014751062918E-2</v>
      </c>
    </row>
    <row r="318" spans="16:27">
      <c r="R318" s="2">
        <v>55000</v>
      </c>
      <c r="S318" s="2">
        <v>7100</v>
      </c>
      <c r="T318" s="2">
        <v>185.91549295774647</v>
      </c>
      <c r="U318" s="4">
        <v>-4.3032955524265259E-3</v>
      </c>
      <c r="V318" s="4">
        <v>-3.8411245576509746E-2</v>
      </c>
    </row>
    <row r="319" spans="16:27">
      <c r="R319" s="2">
        <v>53000</v>
      </c>
      <c r="S319" s="2">
        <v>7175</v>
      </c>
      <c r="T319" s="2">
        <v>177.2822299651568</v>
      </c>
      <c r="U319" s="4">
        <v>-5.0539955949009972E-2</v>
      </c>
      <c r="V319" s="4">
        <v>-8.3064052481319164E-2</v>
      </c>
    </row>
    <row r="320" spans="16:27">
      <c r="P320" s="2">
        <v>3</v>
      </c>
      <c r="Q320" s="2" t="s">
        <v>118</v>
      </c>
      <c r="R320" s="2">
        <v>56000</v>
      </c>
      <c r="S320" s="2">
        <v>7650</v>
      </c>
      <c r="T320" s="2">
        <v>175.68627450980392</v>
      </c>
      <c r="U320" s="4">
        <v>-5.9087321002126575E-2</v>
      </c>
      <c r="V320" s="4">
        <v>-9.1318624459228157E-2</v>
      </c>
    </row>
    <row r="321" spans="18:22">
      <c r="R321" s="2">
        <v>59000</v>
      </c>
      <c r="S321" s="2">
        <v>7837</v>
      </c>
      <c r="T321" s="2">
        <v>180.68138318234017</v>
      </c>
      <c r="U321" s="4">
        <v>-3.2335310373662156E-2</v>
      </c>
      <c r="V321" s="4">
        <v>-6.5483013611423502E-2</v>
      </c>
    </row>
    <row r="322" spans="18:22">
      <c r="R322" s="2">
        <v>58500</v>
      </c>
      <c r="S322" s="2">
        <v>7550</v>
      </c>
      <c r="T322" s="2">
        <v>185.96026490066225</v>
      </c>
      <c r="U322" s="4">
        <v>-4.0635130829628548E-3</v>
      </c>
      <c r="V322" s="4">
        <v>-3.8179676942091005E-2</v>
      </c>
    </row>
    <row r="323" spans="18:22">
      <c r="R323" s="2">
        <v>58500</v>
      </c>
      <c r="S323" s="2">
        <v>7500</v>
      </c>
      <c r="T323" s="2">
        <v>187.2</v>
      </c>
      <c r="U323" s="4">
        <v>2.5760634964839923E-3</v>
      </c>
      <c r="V323" s="4">
        <v>-3.1767541455038344E-2</v>
      </c>
    </row>
    <row r="324" spans="18:22">
      <c r="R324" s="2">
        <v>56000</v>
      </c>
      <c r="S324" s="2">
        <v>7562</v>
      </c>
      <c r="T324" s="2">
        <v>177.73075905845013</v>
      </c>
      <c r="U324" s="4">
        <v>-4.8137794983637773E-2</v>
      </c>
      <c r="V324" s="4">
        <v>-8.0744178406915612E-2</v>
      </c>
    </row>
    <row r="325" spans="18:22">
      <c r="S325" s="2">
        <v>7500</v>
      </c>
      <c r="U325" s="4" t="e">
        <v>#NUM!</v>
      </c>
      <c r="V325" s="4" t="e">
        <v>#NUM!</v>
      </c>
    </row>
    <row r="326" spans="18:22">
      <c r="R326" s="2">
        <v>49000</v>
      </c>
      <c r="S326" s="2">
        <v>7200</v>
      </c>
      <c r="T326" s="2">
        <v>163.33333333333334</v>
      </c>
      <c r="U326" s="4">
        <v>-0.12524524374416451</v>
      </c>
      <c r="V326" s="4">
        <v>-0.15521028367693862</v>
      </c>
    </row>
    <row r="327" spans="18:22">
      <c r="S327" s="2">
        <v>7050</v>
      </c>
      <c r="U327" s="4" t="e">
        <v>#NUM!</v>
      </c>
      <c r="V327" s="4" t="e">
        <v>#NUM!</v>
      </c>
    </row>
    <row r="328" spans="18:22">
      <c r="R328" s="2">
        <v>49000</v>
      </c>
      <c r="S328" s="2">
        <v>6625</v>
      </c>
      <c r="T328" s="2">
        <v>177.50943396226415</v>
      </c>
      <c r="U328" s="4">
        <v>-4.9323132823846746E-2</v>
      </c>
      <c r="V328" s="4">
        <v>-8.1888912071540879E-2</v>
      </c>
    </row>
    <row r="329" spans="18:22">
      <c r="R329" s="2">
        <v>52000</v>
      </c>
      <c r="S329" s="2">
        <v>7050</v>
      </c>
      <c r="T329" s="2">
        <v>177.02127659574469</v>
      </c>
      <c r="U329" s="4">
        <v>-5.1937528608525643E-2</v>
      </c>
      <c r="V329" s="4">
        <v>-8.4413750784906108E-2</v>
      </c>
    </row>
    <row r="330" spans="18:22">
      <c r="R330" s="2">
        <v>50000</v>
      </c>
      <c r="S330" s="2">
        <v>6975</v>
      </c>
      <c r="T330" s="2">
        <v>172.04301075268816</v>
      </c>
      <c r="U330" s="4">
        <v>-7.8599335082727692E-2</v>
      </c>
      <c r="V330" s="4">
        <v>-0.11016224745431334</v>
      </c>
    </row>
    <row r="331" spans="18:22">
      <c r="R331" s="2">
        <v>52000</v>
      </c>
      <c r="S331" s="2">
        <v>7250</v>
      </c>
      <c r="T331" s="2">
        <v>172.13793103448276</v>
      </c>
      <c r="U331" s="4">
        <v>-7.8090976095187059E-2</v>
      </c>
      <c r="V331" s="4">
        <v>-0.10967130248739151</v>
      </c>
    </row>
    <row r="332" spans="18:22">
      <c r="R332" s="2">
        <v>51000</v>
      </c>
      <c r="S332" s="2">
        <v>7025</v>
      </c>
      <c r="T332" s="2">
        <v>174.23487544483984</v>
      </c>
      <c r="U332" s="4">
        <v>-6.6860493871326171E-2</v>
      </c>
      <c r="V332" s="4">
        <v>-9.8825524485937705E-2</v>
      </c>
    </row>
    <row r="333" spans="18:22">
      <c r="R333" s="2">
        <v>51250</v>
      </c>
      <c r="S333" s="2">
        <v>7100</v>
      </c>
      <c r="T333" s="2">
        <v>173.2394366197183</v>
      </c>
      <c r="U333" s="4">
        <v>-7.2191707219306497E-2</v>
      </c>
      <c r="V333" s="4">
        <v>-0.10397411519629313</v>
      </c>
    </row>
    <row r="334" spans="18:22">
      <c r="R334" s="2">
        <v>50000</v>
      </c>
      <c r="S334" s="2">
        <v>6750</v>
      </c>
      <c r="T334" s="2">
        <v>177.77777777777777</v>
      </c>
      <c r="U334" s="4">
        <v>-4.7885979585485267E-2</v>
      </c>
      <c r="V334" s="4">
        <v>-8.0500989036123766E-2</v>
      </c>
    </row>
    <row r="335" spans="18:22">
      <c r="R335" s="2">
        <v>45000</v>
      </c>
      <c r="S335" s="2">
        <v>5850</v>
      </c>
      <c r="T335" s="2">
        <v>184.61538461538461</v>
      </c>
      <c r="U335" s="4">
        <v>-1.1266209569542366E-2</v>
      </c>
      <c r="V335" s="4">
        <v>-4.5135642460590035E-2</v>
      </c>
    </row>
    <row r="336" spans="18:22">
      <c r="S336" s="2">
        <v>5000</v>
      </c>
      <c r="T336" s="2">
        <v>174</v>
      </c>
      <c r="U336" s="4">
        <v>-6.8118402519293672E-2</v>
      </c>
      <c r="V336" s="4">
        <v>-0.1000403430191061</v>
      </c>
    </row>
    <row r="337" spans="16:22">
      <c r="S337" s="2">
        <v>5500</v>
      </c>
      <c r="T337" s="2">
        <v>172</v>
      </c>
      <c r="U337" s="4">
        <v>-7.8829685248956963E-2</v>
      </c>
      <c r="V337" s="4">
        <v>-0.11038470689244971</v>
      </c>
    </row>
    <row r="338" spans="16:22">
      <c r="Q338" s="2" t="s">
        <v>117</v>
      </c>
      <c r="S338" s="2">
        <v>6200</v>
      </c>
      <c r="U338" s="4" t="e">
        <v>#NUM!</v>
      </c>
      <c r="V338" s="4" t="e">
        <v>#NUM!</v>
      </c>
    </row>
    <row r="339" spans="16:22">
      <c r="S339" s="2">
        <v>6750</v>
      </c>
      <c r="U339" s="4" t="e">
        <v>#NUM!</v>
      </c>
      <c r="V339" s="4" t="e">
        <v>#NUM!</v>
      </c>
    </row>
    <row r="340" spans="16:22">
      <c r="S340" s="2">
        <v>6100</v>
      </c>
      <c r="T340" s="2">
        <v>173</v>
      </c>
      <c r="U340" s="4">
        <v>-7.3474043884125317E-2</v>
      </c>
      <c r="V340" s="4">
        <v>-0.1052125249557779</v>
      </c>
    </row>
    <row r="341" spans="16:22">
      <c r="S341" s="2">
        <v>6050</v>
      </c>
      <c r="U341" s="4" t="e">
        <v>#NUM!</v>
      </c>
      <c r="V341" s="4" t="e">
        <v>#NUM!</v>
      </c>
    </row>
    <row r="342" spans="16:22">
      <c r="T342" s="2">
        <v>173.25</v>
      </c>
      <c r="U342" s="4">
        <v>-7.213513354291741E-2</v>
      </c>
      <c r="V342" s="4">
        <v>-0.10391947947160995</v>
      </c>
    </row>
    <row r="343" spans="16:22">
      <c r="S343" s="2">
        <v>5800</v>
      </c>
      <c r="T343" s="2">
        <v>173.5</v>
      </c>
      <c r="U343" s="4">
        <v>-7.0796223201709488E-2</v>
      </c>
      <c r="V343" s="4">
        <v>-0.10262643398744201</v>
      </c>
    </row>
    <row r="344" spans="16:22">
      <c r="S344" s="2">
        <v>5700</v>
      </c>
      <c r="T344" s="2">
        <v>174.25</v>
      </c>
      <c r="U344" s="4">
        <v>-6.677949217808575E-2</v>
      </c>
      <c r="V344" s="4">
        <v>-9.8747297534938147E-2</v>
      </c>
    </row>
    <row r="345" spans="16:22">
      <c r="S345" s="2">
        <v>5800</v>
      </c>
      <c r="T345" s="2">
        <v>174.625</v>
      </c>
      <c r="U345" s="4">
        <v>-6.4771126666273895E-2</v>
      </c>
      <c r="V345" s="4">
        <v>-9.6807729308686225E-2</v>
      </c>
    </row>
    <row r="346" spans="16:22">
      <c r="S346" s="2">
        <v>6100</v>
      </c>
      <c r="T346" s="2">
        <v>174.5</v>
      </c>
      <c r="U346" s="4">
        <v>-6.5440581836877842E-2</v>
      </c>
      <c r="V346" s="4">
        <v>-9.7454252050770199E-2</v>
      </c>
    </row>
    <row r="347" spans="16:22">
      <c r="S347" s="2">
        <v>5800</v>
      </c>
      <c r="T347" s="2">
        <v>174.25</v>
      </c>
      <c r="U347" s="4">
        <v>-6.677949217808575E-2</v>
      </c>
      <c r="V347" s="4">
        <v>-9.8747297534938147E-2</v>
      </c>
    </row>
    <row r="348" spans="16:22">
      <c r="P348" s="2">
        <v>4</v>
      </c>
      <c r="Q348" s="2" t="s">
        <v>116</v>
      </c>
      <c r="S348" s="2">
        <v>5750</v>
      </c>
      <c r="T348" s="2">
        <v>174.125</v>
      </c>
      <c r="U348" s="4">
        <v>-6.7448947348689711E-2</v>
      </c>
      <c r="V348" s="4">
        <v>-9.9393820277022121E-2</v>
      </c>
    </row>
    <row r="349" spans="16:22">
      <c r="S349" s="2">
        <v>5700</v>
      </c>
      <c r="T349" s="2">
        <v>175</v>
      </c>
      <c r="U349" s="4">
        <v>-6.2762761154462027E-2</v>
      </c>
      <c r="V349" s="4">
        <v>-9.4868161082434302E-2</v>
      </c>
    </row>
    <row r="350" spans="16:22">
      <c r="S350" s="2">
        <v>5750</v>
      </c>
      <c r="T350" s="2">
        <v>175</v>
      </c>
      <c r="U350" s="4">
        <v>-6.2762761154462027E-2</v>
      </c>
      <c r="V350" s="4">
        <v>-9.4868161082434302E-2</v>
      </c>
    </row>
    <row r="351" spans="16:22">
      <c r="S351" s="2">
        <v>5950</v>
      </c>
      <c r="T351" s="2">
        <v>175.5</v>
      </c>
      <c r="U351" s="4">
        <v>-6.0084940472046197E-2</v>
      </c>
      <c r="V351" s="4">
        <v>-9.2282070114098391E-2</v>
      </c>
    </row>
    <row r="352" spans="16:22">
      <c r="S352" s="2">
        <v>5925</v>
      </c>
      <c r="T352" s="2">
        <v>175</v>
      </c>
      <c r="U352" s="4">
        <v>-6.2762761154462027E-2</v>
      </c>
      <c r="V352" s="4">
        <v>-9.4868161082434302E-2</v>
      </c>
    </row>
    <row r="353" spans="17:22">
      <c r="S353" s="2">
        <v>5875</v>
      </c>
      <c r="T353" s="2">
        <v>175</v>
      </c>
      <c r="U353" s="4">
        <v>-6.2762761154462027E-2</v>
      </c>
      <c r="V353" s="4">
        <v>-9.4868161082434302E-2</v>
      </c>
    </row>
    <row r="354" spans="17:22">
      <c r="S354" s="2">
        <v>5900</v>
      </c>
      <c r="T354" s="2">
        <v>175.375</v>
      </c>
      <c r="U354" s="4">
        <v>-6.0754395642650158E-2</v>
      </c>
      <c r="V354" s="4">
        <v>-9.2928592856182365E-2</v>
      </c>
    </row>
    <row r="355" spans="17:22">
      <c r="S355" s="2">
        <v>5925</v>
      </c>
      <c r="T355" s="2">
        <v>175.5</v>
      </c>
      <c r="U355" s="4">
        <v>-6.0084940472046197E-2</v>
      </c>
      <c r="V355" s="4">
        <v>-9.2282070114098391E-2</v>
      </c>
    </row>
    <row r="356" spans="17:22">
      <c r="S356" s="2">
        <v>5800</v>
      </c>
      <c r="T356" s="2">
        <v>176.125</v>
      </c>
      <c r="U356" s="4">
        <v>-5.6737664619026421E-2</v>
      </c>
      <c r="V356" s="4">
        <v>-8.904945640367852E-2</v>
      </c>
    </row>
    <row r="357" spans="17:22">
      <c r="S357" s="2">
        <v>5900</v>
      </c>
      <c r="T357" s="2">
        <v>176</v>
      </c>
      <c r="U357" s="4">
        <v>-5.7407119789630374E-2</v>
      </c>
      <c r="V357" s="4">
        <v>-8.9695979145762494E-2</v>
      </c>
    </row>
    <row r="358" spans="17:22">
      <c r="S358" s="2">
        <v>6050</v>
      </c>
      <c r="T358" s="2">
        <v>175.75</v>
      </c>
      <c r="U358" s="4">
        <v>-5.8746030130838289E-2</v>
      </c>
      <c r="V358" s="4">
        <v>-9.0989024629930443E-2</v>
      </c>
    </row>
    <row r="359" spans="17:22">
      <c r="S359" s="2">
        <v>6000</v>
      </c>
      <c r="T359" s="2">
        <v>176.32499999999999</v>
      </c>
      <c r="U359" s="4">
        <v>-5.5666536346060155E-2</v>
      </c>
      <c r="V359" s="4">
        <v>-8.8015020016344217E-2</v>
      </c>
    </row>
    <row r="360" spans="17:22">
      <c r="S360" s="2">
        <v>5900</v>
      </c>
      <c r="T360" s="2">
        <v>176.75</v>
      </c>
      <c r="U360" s="4">
        <v>-5.3390388766006644E-2</v>
      </c>
      <c r="V360" s="4">
        <v>-8.5816842693258635E-2</v>
      </c>
    </row>
    <row r="361" spans="17:22">
      <c r="S361" s="2">
        <v>5950</v>
      </c>
      <c r="T361" s="2">
        <v>177</v>
      </c>
      <c r="U361" s="4">
        <v>-5.2051478424798729E-2</v>
      </c>
      <c r="V361" s="4">
        <v>-8.4523797209090687E-2</v>
      </c>
    </row>
    <row r="362" spans="17:22">
      <c r="S362" s="2">
        <v>6025</v>
      </c>
      <c r="T362" s="2">
        <v>177</v>
      </c>
      <c r="U362" s="4">
        <v>-5.2051478424798729E-2</v>
      </c>
      <c r="V362" s="4">
        <v>-8.4523797209090687E-2</v>
      </c>
    </row>
    <row r="363" spans="17:22">
      <c r="S363" s="2">
        <v>5975</v>
      </c>
      <c r="T363" s="2">
        <v>176.875</v>
      </c>
      <c r="U363" s="4">
        <v>-5.272093359540269E-2</v>
      </c>
      <c r="V363" s="4">
        <v>-8.5170319951174661E-2</v>
      </c>
    </row>
    <row r="364" spans="17:22">
      <c r="S364" s="2">
        <v>5950</v>
      </c>
      <c r="T364" s="2">
        <v>176.875</v>
      </c>
      <c r="U364" s="4">
        <v>-5.272093359540269E-2</v>
      </c>
      <c r="V364" s="4">
        <v>-8.5170319951174661E-2</v>
      </c>
    </row>
    <row r="365" spans="17:22">
      <c r="Q365" s="2" t="s">
        <v>115</v>
      </c>
      <c r="S365" s="2">
        <v>6025</v>
      </c>
      <c r="T365" s="2">
        <v>177.5</v>
      </c>
      <c r="U365" s="4">
        <v>-4.9373657742382906E-2</v>
      </c>
      <c r="V365" s="4">
        <v>-8.193770624075479E-2</v>
      </c>
    </row>
    <row r="366" spans="17:22">
      <c r="S366" s="2">
        <v>5875</v>
      </c>
      <c r="T366" s="2">
        <v>177.625</v>
      </c>
      <c r="U366" s="4">
        <v>-4.8704202571778953E-2</v>
      </c>
      <c r="V366" s="4">
        <v>-8.1291183498670816E-2</v>
      </c>
    </row>
    <row r="367" spans="17:22">
      <c r="S367" s="2">
        <v>5975</v>
      </c>
      <c r="T367" s="2">
        <v>177.75</v>
      </c>
      <c r="U367" s="4">
        <v>-4.8034747401174999E-2</v>
      </c>
      <c r="V367" s="4">
        <v>-8.0644660756586842E-2</v>
      </c>
    </row>
    <row r="368" spans="17:22">
      <c r="S368" s="2">
        <v>5975</v>
      </c>
      <c r="T368" s="2">
        <v>178</v>
      </c>
      <c r="U368" s="4">
        <v>-4.6695837059967084E-2</v>
      </c>
      <c r="V368" s="4">
        <v>-7.9351615272418879E-2</v>
      </c>
    </row>
    <row r="369" spans="16:22">
      <c r="S369" s="2">
        <v>5950</v>
      </c>
      <c r="T369" s="2">
        <v>177.875</v>
      </c>
      <c r="U369" s="4">
        <v>-4.7365292230571045E-2</v>
      </c>
      <c r="V369" s="4">
        <v>-7.9998138014502854E-2</v>
      </c>
    </row>
    <row r="370" spans="16:22">
      <c r="S370" s="2">
        <v>5925</v>
      </c>
      <c r="T370" s="2">
        <v>178</v>
      </c>
      <c r="U370" s="4">
        <v>-4.6695837059967084E-2</v>
      </c>
      <c r="V370" s="4">
        <v>-7.9351615272418879E-2</v>
      </c>
    </row>
    <row r="371" spans="16:22">
      <c r="S371" s="2">
        <v>5975</v>
      </c>
      <c r="T371" s="2">
        <v>178</v>
      </c>
      <c r="U371" s="4">
        <v>-4.6695837059967084E-2</v>
      </c>
      <c r="V371" s="4">
        <v>-7.9351615272418879E-2</v>
      </c>
    </row>
    <row r="372" spans="16:22">
      <c r="S372" s="2">
        <v>6000</v>
      </c>
      <c r="T372" s="2">
        <v>178.5</v>
      </c>
      <c r="U372" s="4">
        <v>-4.4018016377551261E-2</v>
      </c>
      <c r="V372" s="4">
        <v>-7.6765524304082983E-2</v>
      </c>
    </row>
    <row r="373" spans="16:22">
      <c r="S373" s="2">
        <v>6025</v>
      </c>
      <c r="T373" s="2">
        <v>178.25</v>
      </c>
      <c r="U373" s="4">
        <v>-4.5356926718759176E-2</v>
      </c>
      <c r="V373" s="4">
        <v>-7.8058569788250931E-2</v>
      </c>
    </row>
    <row r="374" spans="16:22">
      <c r="S374" s="2">
        <v>6425</v>
      </c>
      <c r="T374" s="2">
        <v>178.75</v>
      </c>
      <c r="U374" s="4">
        <v>-4.2679106036343353E-2</v>
      </c>
      <c r="V374" s="4">
        <v>-7.5472478819915034E-2</v>
      </c>
    </row>
    <row r="375" spans="16:22">
      <c r="P375" s="2">
        <v>5</v>
      </c>
      <c r="Q375" s="2" t="s">
        <v>114</v>
      </c>
      <c r="S375" s="2">
        <v>6450</v>
      </c>
      <c r="T375" s="2">
        <v>178.875</v>
      </c>
      <c r="U375" s="4">
        <v>-4.2009650865739399E-2</v>
      </c>
      <c r="V375" s="4">
        <v>-7.482595607783106E-2</v>
      </c>
    </row>
    <row r="376" spans="16:22">
      <c r="S376" s="2">
        <v>6250</v>
      </c>
      <c r="T376" s="2">
        <v>178</v>
      </c>
      <c r="U376" s="4">
        <v>-4.6695837059967084E-2</v>
      </c>
      <c r="V376" s="4">
        <v>-7.9351615272418879E-2</v>
      </c>
    </row>
    <row r="377" spans="16:22">
      <c r="S377" s="2">
        <v>7175</v>
      </c>
      <c r="T377" s="2">
        <v>178.875</v>
      </c>
      <c r="U377" s="4">
        <v>-4.2009650865739399E-2</v>
      </c>
      <c r="V377" s="4">
        <v>-7.482595607783106E-2</v>
      </c>
    </row>
    <row r="378" spans="16:22">
      <c r="S378" s="2">
        <v>7025</v>
      </c>
      <c r="T378" s="2">
        <v>178.875</v>
      </c>
      <c r="U378" s="4">
        <v>-4.2009650865739399E-2</v>
      </c>
      <c r="V378" s="4">
        <v>-7.482595607783106E-2</v>
      </c>
    </row>
    <row r="379" spans="16:22">
      <c r="S379" s="2">
        <v>7150</v>
      </c>
      <c r="T379" s="2">
        <v>178.75</v>
      </c>
      <c r="U379" s="4">
        <v>-4.2679106036343353E-2</v>
      </c>
      <c r="V379" s="4">
        <v>-7.5472478819915034E-2</v>
      </c>
    </row>
    <row r="380" spans="16:22">
      <c r="S380" s="2">
        <v>7275</v>
      </c>
      <c r="T380" s="2">
        <v>178.625</v>
      </c>
      <c r="U380" s="4">
        <v>-4.3348561206947307E-2</v>
      </c>
      <c r="V380" s="4">
        <v>-7.6119001561999008E-2</v>
      </c>
    </row>
    <row r="381" spans="16:22">
      <c r="S381" s="2">
        <v>7350</v>
      </c>
      <c r="T381" s="2">
        <v>179</v>
      </c>
      <c r="U381" s="4">
        <v>-4.1340195695135439E-2</v>
      </c>
      <c r="V381" s="4">
        <v>-7.4179433335747086E-2</v>
      </c>
    </row>
    <row r="382" spans="16:22">
      <c r="S382" s="2">
        <v>7500</v>
      </c>
      <c r="T382" s="2">
        <v>178.875</v>
      </c>
      <c r="U382" s="4">
        <v>-4.2009650865739399E-2</v>
      </c>
      <c r="V382" s="4">
        <v>-7.482595607783106E-2</v>
      </c>
    </row>
    <row r="383" spans="16:22">
      <c r="S383" s="2">
        <v>7750</v>
      </c>
      <c r="T383" s="2">
        <v>178.875</v>
      </c>
      <c r="U383" s="4">
        <v>-4.2009650865739399E-2</v>
      </c>
      <c r="V383" s="4">
        <v>-7.482595607783106E-2</v>
      </c>
    </row>
    <row r="384" spans="16:22">
      <c r="S384" s="2">
        <v>8100</v>
      </c>
      <c r="T384" s="2">
        <v>179</v>
      </c>
      <c r="U384" s="4">
        <v>-4.1340195695135439E-2</v>
      </c>
      <c r="V384" s="4">
        <v>-7.4179433335747086E-2</v>
      </c>
    </row>
    <row r="385" spans="17:27">
      <c r="S385" s="2">
        <v>8025</v>
      </c>
      <c r="T385" s="2">
        <v>179.5</v>
      </c>
      <c r="U385" s="4">
        <v>-3.8662375012719616E-2</v>
      </c>
      <c r="V385" s="4">
        <v>-7.1593342367411175E-2</v>
      </c>
    </row>
    <row r="386" spans="17:27">
      <c r="S386" s="2">
        <v>8200</v>
      </c>
      <c r="T386" s="2">
        <v>179.5</v>
      </c>
      <c r="U386" s="4">
        <v>-3.8662375012719616E-2</v>
      </c>
      <c r="V386" s="4">
        <v>-7.1593342367411175E-2</v>
      </c>
    </row>
    <row r="387" spans="17:27">
      <c r="S387" s="2">
        <v>8300</v>
      </c>
      <c r="T387" s="2">
        <v>179.25</v>
      </c>
      <c r="U387" s="4">
        <v>-4.0001285353927531E-2</v>
      </c>
      <c r="V387" s="4">
        <v>-7.2886387851579124E-2</v>
      </c>
    </row>
    <row r="388" spans="17:27">
      <c r="S388" s="2">
        <v>8300</v>
      </c>
      <c r="T388" s="2">
        <v>179.5</v>
      </c>
      <c r="U388" s="4">
        <v>-3.8662375012719616E-2</v>
      </c>
      <c r="V388" s="4">
        <v>-7.1593342367411175E-2</v>
      </c>
      <c r="W388" s="2">
        <v>49.25</v>
      </c>
      <c r="Y388" s="2">
        <f t="shared" ref="Y388:Y419" si="16">32*24/22/W388*24</f>
        <v>17.01153668666359</v>
      </c>
      <c r="AA388" s="2">
        <f>31.1526*24/W388</f>
        <v>15.180962436548223</v>
      </c>
    </row>
    <row r="389" spans="17:27">
      <c r="S389" s="2">
        <v>8450</v>
      </c>
      <c r="T389" s="2">
        <v>179.5</v>
      </c>
      <c r="U389" s="4">
        <v>-3.8662375012719616E-2</v>
      </c>
      <c r="V389" s="4">
        <v>-7.1593342367411175E-2</v>
      </c>
      <c r="Y389" s="2" t="e">
        <f t="shared" si="16"/>
        <v>#DIV/0!</v>
      </c>
      <c r="AA389" s="2" t="e">
        <v>#NUM!</v>
      </c>
    </row>
    <row r="390" spans="17:27">
      <c r="S390" s="2">
        <v>8500</v>
      </c>
      <c r="T390" s="2">
        <v>179.625</v>
      </c>
      <c r="U390" s="4">
        <v>-3.7992919842115662E-2</v>
      </c>
      <c r="V390" s="4">
        <v>-7.0946819625327201E-2</v>
      </c>
      <c r="W390" s="2">
        <v>49.5</v>
      </c>
      <c r="Y390" s="2">
        <f t="shared" si="16"/>
        <v>16.925619834710741</v>
      </c>
      <c r="AA390" s="2">
        <v>15.104290909090908</v>
      </c>
    </row>
    <row r="391" spans="17:27">
      <c r="S391" s="2">
        <v>8600</v>
      </c>
      <c r="T391" s="2">
        <v>180</v>
      </c>
      <c r="U391" s="4">
        <v>-3.5984554330303793E-2</v>
      </c>
      <c r="V391" s="4">
        <v>-6.9007251399075278E-2</v>
      </c>
      <c r="Y391" s="2" t="e">
        <f t="shared" si="16"/>
        <v>#DIV/0!</v>
      </c>
      <c r="AA391" s="2" t="e">
        <v>#NUM!</v>
      </c>
    </row>
    <row r="392" spans="17:27">
      <c r="Q392" s="2" t="s">
        <v>113</v>
      </c>
      <c r="T392" s="2">
        <v>180</v>
      </c>
      <c r="U392" s="4">
        <v>-3.5984554330303793E-2</v>
      </c>
      <c r="V392" s="4">
        <v>-6.9007251399075278E-2</v>
      </c>
      <c r="Y392" s="2" t="e">
        <f t="shared" si="16"/>
        <v>#DIV/0!</v>
      </c>
      <c r="AA392" s="2" t="e">
        <v>#NUM!</v>
      </c>
    </row>
    <row r="393" spans="17:27">
      <c r="T393" s="2">
        <v>179.75</v>
      </c>
      <c r="U393" s="4">
        <v>-3.7323464671511708E-2</v>
      </c>
      <c r="V393" s="4">
        <v>-7.0300296883243227E-2</v>
      </c>
      <c r="Y393" s="2" t="e">
        <f t="shared" si="16"/>
        <v>#DIV/0!</v>
      </c>
      <c r="AA393" s="2" t="e">
        <v>#NUM!</v>
      </c>
    </row>
    <row r="394" spans="17:27">
      <c r="T394" s="2">
        <v>180.625</v>
      </c>
      <c r="U394" s="4">
        <v>-3.2637278477284017E-2</v>
      </c>
      <c r="V394" s="4">
        <v>-6.5774637688655394E-2</v>
      </c>
      <c r="Y394" s="2" t="e">
        <f t="shared" si="16"/>
        <v>#DIV/0!</v>
      </c>
      <c r="AA394" s="2" t="e">
        <v>#NUM!</v>
      </c>
    </row>
    <row r="395" spans="17:27">
      <c r="T395" s="2">
        <v>181</v>
      </c>
      <c r="U395" s="4">
        <v>-3.0628912965472148E-2</v>
      </c>
      <c r="V395" s="4">
        <v>-6.3835069462403471E-2</v>
      </c>
      <c r="Y395" s="2" t="e">
        <f t="shared" si="16"/>
        <v>#DIV/0!</v>
      </c>
      <c r="AA395" s="2" t="e">
        <v>#NUM!</v>
      </c>
    </row>
    <row r="396" spans="17:27">
      <c r="T396" s="2">
        <v>181</v>
      </c>
      <c r="U396" s="4">
        <v>-3.0628912965472148E-2</v>
      </c>
      <c r="V396" s="4">
        <v>-6.3835069462403471E-2</v>
      </c>
      <c r="Y396" s="2" t="e">
        <f t="shared" si="16"/>
        <v>#DIV/0!</v>
      </c>
      <c r="AA396" s="2" t="e">
        <v>#NUM!</v>
      </c>
    </row>
    <row r="397" spans="17:27">
      <c r="T397" s="2">
        <v>181</v>
      </c>
      <c r="U397" s="4">
        <v>-3.0628912965472148E-2</v>
      </c>
      <c r="V397" s="4">
        <v>-6.3835069462403471E-2</v>
      </c>
      <c r="Y397" s="2" t="e">
        <f t="shared" si="16"/>
        <v>#DIV/0!</v>
      </c>
      <c r="AA397" s="2" t="e">
        <v>#NUM!</v>
      </c>
    </row>
    <row r="398" spans="17:27">
      <c r="T398" s="2">
        <v>181.25</v>
      </c>
      <c r="U398" s="4">
        <v>-2.9290002624264237E-2</v>
      </c>
      <c r="V398" s="4">
        <v>-6.2542023978235523E-2</v>
      </c>
      <c r="Y398" s="2" t="e">
        <f t="shared" si="16"/>
        <v>#DIV/0!</v>
      </c>
      <c r="AA398" s="2" t="e">
        <v>#NUM!</v>
      </c>
    </row>
    <row r="399" spans="17:27">
      <c r="T399" s="2">
        <v>181.625</v>
      </c>
      <c r="U399" s="4">
        <v>-2.7281637112452371E-2</v>
      </c>
      <c r="V399" s="4">
        <v>-6.0602455751983593E-2</v>
      </c>
      <c r="Y399" s="2" t="e">
        <f t="shared" si="16"/>
        <v>#DIV/0!</v>
      </c>
      <c r="AA399" s="2" t="e">
        <v>#NUM!</v>
      </c>
    </row>
    <row r="400" spans="17:27">
      <c r="T400" s="2">
        <v>181.5</v>
      </c>
      <c r="U400" s="4">
        <v>-2.7951092283056325E-2</v>
      </c>
      <c r="V400" s="4">
        <v>-6.1248978494067567E-2</v>
      </c>
      <c r="W400" s="2">
        <v>48.5</v>
      </c>
      <c r="Y400" s="2">
        <f t="shared" si="16"/>
        <v>17.274601686972819</v>
      </c>
      <c r="AA400" s="2">
        <v>15.415719587628866</v>
      </c>
    </row>
    <row r="401" spans="16:27">
      <c r="T401" s="2">
        <v>181.75</v>
      </c>
      <c r="U401" s="4">
        <v>-2.6612181941848414E-2</v>
      </c>
      <c r="V401" s="4">
        <v>-5.9955933009899619E-2</v>
      </c>
      <c r="W401" s="2">
        <v>48.75</v>
      </c>
      <c r="X401" s="2">
        <v>98.5</v>
      </c>
      <c r="Y401" s="2">
        <f t="shared" si="16"/>
        <v>17.186013986013986</v>
      </c>
      <c r="AA401" s="2">
        <v>15.336664615384615</v>
      </c>
    </row>
    <row r="402" spans="16:27">
      <c r="P402" s="2">
        <v>6</v>
      </c>
      <c r="Q402" s="2" t="s">
        <v>137</v>
      </c>
      <c r="T402" s="2">
        <v>181.5</v>
      </c>
      <c r="U402" s="4">
        <v>-2.7951092283056325E-2</v>
      </c>
      <c r="V402" s="4">
        <v>-6.1248978494067567E-2</v>
      </c>
      <c r="W402" s="2">
        <v>49</v>
      </c>
      <c r="Y402" s="2">
        <f t="shared" si="16"/>
        <v>17.098330241187384</v>
      </c>
      <c r="AA402" s="2">
        <v>15.258416326530613</v>
      </c>
    </row>
    <row r="403" spans="16:27">
      <c r="T403" s="2">
        <v>181.75</v>
      </c>
      <c r="U403" s="4">
        <v>-2.6612181941848414E-2</v>
      </c>
      <c r="V403" s="4">
        <v>-5.9955933009899619E-2</v>
      </c>
      <c r="W403" s="2">
        <v>48.5</v>
      </c>
      <c r="Y403" s="2">
        <f t="shared" si="16"/>
        <v>17.274601686972819</v>
      </c>
      <c r="AA403" s="2">
        <v>15.415719587628866</v>
      </c>
    </row>
    <row r="404" spans="16:27">
      <c r="T404" s="2">
        <v>181</v>
      </c>
      <c r="U404" s="4">
        <v>-3.0628912965472148E-2</v>
      </c>
      <c r="V404" s="4">
        <v>-6.3835069462403471E-2</v>
      </c>
      <c r="Y404" s="2" t="e">
        <f t="shared" si="16"/>
        <v>#DIV/0!</v>
      </c>
      <c r="AA404" s="2" t="e">
        <v>#NUM!</v>
      </c>
    </row>
    <row r="405" spans="16:27">
      <c r="T405" s="2">
        <v>181</v>
      </c>
      <c r="U405" s="4">
        <v>-3.0628912965472148E-2</v>
      </c>
      <c r="V405" s="4">
        <v>-6.3835069462403471E-2</v>
      </c>
      <c r="Y405" s="2" t="e">
        <f t="shared" si="16"/>
        <v>#DIV/0!</v>
      </c>
      <c r="AA405" s="2" t="e">
        <v>#NUM!</v>
      </c>
    </row>
    <row r="406" spans="16:27">
      <c r="T406" s="2">
        <v>181.75</v>
      </c>
      <c r="U406" s="4">
        <v>-2.6612181941848414E-2</v>
      </c>
      <c r="V406" s="4">
        <v>-5.9955933009899619E-2</v>
      </c>
      <c r="Y406" s="2" t="e">
        <f t="shared" si="16"/>
        <v>#DIV/0!</v>
      </c>
      <c r="AA406" s="2" t="e">
        <v>#NUM!</v>
      </c>
    </row>
    <row r="407" spans="16:27">
      <c r="T407" s="2">
        <v>181.75</v>
      </c>
      <c r="U407" s="4">
        <v>-2.6612181941848414E-2</v>
      </c>
      <c r="V407" s="4">
        <v>-5.9955933009899619E-2</v>
      </c>
      <c r="Y407" s="2" t="e">
        <f t="shared" si="16"/>
        <v>#DIV/0!</v>
      </c>
      <c r="AA407" s="2" t="e">
        <v>#NUM!</v>
      </c>
    </row>
    <row r="408" spans="16:27">
      <c r="T408" s="2">
        <v>182</v>
      </c>
      <c r="U408" s="4">
        <v>-2.5273271600640503E-2</v>
      </c>
      <c r="V408" s="4">
        <v>-5.866288752573167E-2</v>
      </c>
      <c r="W408" s="2">
        <v>48.25</v>
      </c>
      <c r="Y408" s="2">
        <f t="shared" si="16"/>
        <v>17.364107395195475</v>
      </c>
      <c r="AA408" s="2">
        <v>15.49559378238342</v>
      </c>
    </row>
    <row r="409" spans="16:27">
      <c r="T409" s="2">
        <v>182</v>
      </c>
      <c r="U409" s="4">
        <v>-2.5273271600640503E-2</v>
      </c>
      <c r="V409" s="4">
        <v>-5.866288752573167E-2</v>
      </c>
      <c r="W409" s="2">
        <v>48.5</v>
      </c>
      <c r="Y409" s="2">
        <f t="shared" si="16"/>
        <v>17.274601686972819</v>
      </c>
      <c r="AA409" s="2">
        <v>15.415719587628866</v>
      </c>
    </row>
    <row r="410" spans="16:27">
      <c r="T410" s="2">
        <v>182</v>
      </c>
      <c r="U410" s="4">
        <v>-2.5273271600640503E-2</v>
      </c>
      <c r="V410" s="4">
        <v>-5.866288752573167E-2</v>
      </c>
      <c r="W410" s="2">
        <v>48</v>
      </c>
      <c r="X410" s="2">
        <v>97.5</v>
      </c>
      <c r="Y410" s="2">
        <f t="shared" si="16"/>
        <v>17.454545454545453</v>
      </c>
      <c r="AA410" s="2">
        <v>15.5763</v>
      </c>
    </row>
    <row r="411" spans="16:27">
      <c r="T411" s="2">
        <v>182.25</v>
      </c>
      <c r="U411" s="4">
        <v>-2.3934361259432591E-2</v>
      </c>
      <c r="V411" s="4">
        <v>-5.7369842041563715E-2</v>
      </c>
      <c r="W411" s="2">
        <v>48.25</v>
      </c>
      <c r="Y411" s="2">
        <f t="shared" si="16"/>
        <v>17.364107395195475</v>
      </c>
      <c r="AA411" s="2">
        <v>15.49559378238342</v>
      </c>
    </row>
    <row r="412" spans="16:27">
      <c r="T412" s="2">
        <v>182.25</v>
      </c>
      <c r="U412" s="4">
        <v>-2.3934361259432591E-2</v>
      </c>
      <c r="V412" s="4">
        <v>-5.7369842041563715E-2</v>
      </c>
      <c r="Y412" s="2" t="e">
        <f t="shared" si="16"/>
        <v>#DIV/0!</v>
      </c>
      <c r="AA412" s="2" t="e">
        <v>#NUM!</v>
      </c>
    </row>
    <row r="413" spans="16:27">
      <c r="T413" s="2">
        <v>182.5</v>
      </c>
      <c r="U413" s="4">
        <v>-2.259545091822468E-2</v>
      </c>
      <c r="V413" s="4">
        <v>-5.6076796557395767E-2</v>
      </c>
      <c r="Y413" s="2" t="e">
        <f t="shared" si="16"/>
        <v>#DIV/0!</v>
      </c>
      <c r="AA413" s="2" t="e">
        <v>#NUM!</v>
      </c>
    </row>
    <row r="414" spans="16:27">
      <c r="T414" s="2">
        <v>182.125</v>
      </c>
      <c r="U414" s="4">
        <v>-2.4603816430036549E-2</v>
      </c>
      <c r="V414" s="4">
        <v>-5.8016364783647696E-2</v>
      </c>
      <c r="W414" s="2">
        <v>48</v>
      </c>
      <c r="Y414" s="2">
        <f t="shared" si="16"/>
        <v>17.454545454545453</v>
      </c>
      <c r="AA414" s="2">
        <v>15.5763</v>
      </c>
    </row>
    <row r="415" spans="16:27">
      <c r="T415" s="2">
        <v>182</v>
      </c>
      <c r="U415" s="4">
        <v>-2.5273271600640503E-2</v>
      </c>
      <c r="V415" s="4">
        <v>-5.866288752573167E-2</v>
      </c>
      <c r="Y415" s="2" t="e">
        <f t="shared" si="16"/>
        <v>#DIV/0!</v>
      </c>
      <c r="AA415" s="2" t="e">
        <v>#NUM!</v>
      </c>
    </row>
    <row r="416" spans="16:27">
      <c r="T416" s="2">
        <v>182</v>
      </c>
      <c r="U416" s="4">
        <v>-2.5273271600640503E-2</v>
      </c>
      <c r="V416" s="4">
        <v>-5.866288752573167E-2</v>
      </c>
      <c r="W416" s="2">
        <v>48.25</v>
      </c>
      <c r="Y416" s="2">
        <f t="shared" si="16"/>
        <v>17.364107395195475</v>
      </c>
      <c r="AA416" s="2">
        <v>15.49559378238342</v>
      </c>
    </row>
    <row r="417" spans="16:27">
      <c r="T417" s="2">
        <v>182.25</v>
      </c>
      <c r="U417" s="4">
        <v>-2.3934361259432591E-2</v>
      </c>
      <c r="V417" s="4">
        <v>-5.7369842041563715E-2</v>
      </c>
      <c r="Y417" s="2" t="e">
        <f t="shared" si="16"/>
        <v>#DIV/0!</v>
      </c>
      <c r="AA417" s="2" t="e">
        <v>#NUM!</v>
      </c>
    </row>
    <row r="418" spans="16:27">
      <c r="T418" s="2">
        <v>182.25</v>
      </c>
      <c r="U418" s="4">
        <v>-2.3934361259432591E-2</v>
      </c>
      <c r="V418" s="4">
        <v>-5.7369842041563715E-2</v>
      </c>
      <c r="Y418" s="2" t="e">
        <f t="shared" si="16"/>
        <v>#DIV/0!</v>
      </c>
      <c r="AA418" s="2" t="e">
        <v>#NUM!</v>
      </c>
    </row>
    <row r="419" spans="16:27">
      <c r="Q419" s="2" t="s">
        <v>136</v>
      </c>
      <c r="T419" s="2">
        <v>182.5</v>
      </c>
      <c r="U419" s="4">
        <v>-2.259545091822468E-2</v>
      </c>
      <c r="V419" s="4">
        <v>-5.6076796557395767E-2</v>
      </c>
      <c r="W419" s="2">
        <v>48</v>
      </c>
      <c r="X419" s="2">
        <v>92</v>
      </c>
      <c r="Y419" s="2">
        <f t="shared" si="16"/>
        <v>17.454545454545453</v>
      </c>
      <c r="AA419" s="2">
        <v>15.5763</v>
      </c>
    </row>
    <row r="420" spans="16:27">
      <c r="T420" s="2">
        <v>182.5</v>
      </c>
      <c r="U420" s="4">
        <v>-2.259545091822468E-2</v>
      </c>
      <c r="V420" s="4">
        <v>-5.6076796557395767E-2</v>
      </c>
      <c r="W420" s="2">
        <v>48.25</v>
      </c>
      <c r="Y420" s="2">
        <f t="shared" ref="Y420:Y451" si="17">32*24/22/W420*24</f>
        <v>17.364107395195475</v>
      </c>
      <c r="AA420" s="2">
        <v>15.49559378238342</v>
      </c>
    </row>
    <row r="421" spans="16:27">
      <c r="T421" s="2">
        <v>182.75</v>
      </c>
      <c r="U421" s="4">
        <v>-2.1256540577016769E-2</v>
      </c>
      <c r="V421" s="4">
        <v>-5.4783751073227818E-2</v>
      </c>
      <c r="Y421" s="2" t="e">
        <f t="shared" si="17"/>
        <v>#DIV/0!</v>
      </c>
      <c r="AA421" s="2" t="e">
        <v>#NUM!</v>
      </c>
    </row>
    <row r="422" spans="16:27">
      <c r="T422" s="2">
        <v>182.75</v>
      </c>
      <c r="U422" s="4">
        <v>-2.1256540577016769E-2</v>
      </c>
      <c r="V422" s="4">
        <v>-5.4783751073227818E-2</v>
      </c>
      <c r="Y422" s="2" t="e">
        <f t="shared" si="17"/>
        <v>#DIV/0!</v>
      </c>
      <c r="AA422" s="2" t="e">
        <v>#NUM!</v>
      </c>
    </row>
    <row r="423" spans="16:27">
      <c r="T423" s="2">
        <v>182.72</v>
      </c>
      <c r="U423" s="4">
        <v>-2.1417209817961726E-2</v>
      </c>
      <c r="V423" s="4">
        <v>-5.4938916531327972E-2</v>
      </c>
      <c r="W423" s="2">
        <v>47.75</v>
      </c>
      <c r="Y423" s="2">
        <f t="shared" si="17"/>
        <v>17.545930509281291</v>
      </c>
      <c r="AA423" s="2">
        <v>15.657851308900524</v>
      </c>
    </row>
    <row r="424" spans="16:27">
      <c r="T424" s="2">
        <v>183</v>
      </c>
      <c r="U424" s="4">
        <v>-1.9917630235808857E-2</v>
      </c>
      <c r="V424" s="4">
        <v>-5.3490705589059863E-2</v>
      </c>
      <c r="W424" s="2">
        <v>48</v>
      </c>
      <c r="X424" s="2">
        <v>97.75</v>
      </c>
      <c r="Y424" s="2">
        <f t="shared" si="17"/>
        <v>17.454545454545453</v>
      </c>
      <c r="AA424" s="2">
        <v>15.5763</v>
      </c>
    </row>
    <row r="425" spans="16:27">
      <c r="T425" s="2">
        <v>183</v>
      </c>
      <c r="U425" s="4">
        <v>-1.9917630235808857E-2</v>
      </c>
      <c r="V425" s="4">
        <v>-5.3490705589059863E-2</v>
      </c>
      <c r="Y425" s="2" t="e">
        <f t="shared" si="17"/>
        <v>#DIV/0!</v>
      </c>
      <c r="AA425" s="2" t="e">
        <v>#NUM!</v>
      </c>
    </row>
    <row r="426" spans="16:27">
      <c r="T426" s="2">
        <v>183.25</v>
      </c>
      <c r="U426" s="4">
        <v>-1.8578719894600946E-2</v>
      </c>
      <c r="V426" s="4">
        <v>-5.2197660104891914E-2</v>
      </c>
      <c r="Y426" s="2" t="e">
        <f t="shared" si="17"/>
        <v>#DIV/0!</v>
      </c>
      <c r="AA426" s="2" t="e">
        <v>#NUM!</v>
      </c>
    </row>
    <row r="427" spans="16:27">
      <c r="T427" s="2">
        <v>183.5</v>
      </c>
      <c r="U427" s="4">
        <v>-1.7239809553393035E-2</v>
      </c>
      <c r="V427" s="4">
        <v>-5.0904614620723959E-2</v>
      </c>
      <c r="Y427" s="2" t="e">
        <f t="shared" si="17"/>
        <v>#DIV/0!</v>
      </c>
      <c r="AA427" s="2" t="e">
        <v>#NUM!</v>
      </c>
    </row>
    <row r="428" spans="16:27">
      <c r="T428" s="2">
        <v>183.5</v>
      </c>
      <c r="U428" s="4">
        <v>-1.7239809553393035E-2</v>
      </c>
      <c r="V428" s="4">
        <v>-5.0904614620723959E-2</v>
      </c>
      <c r="X428" s="2">
        <v>98</v>
      </c>
      <c r="Y428" s="2" t="e">
        <f t="shared" si="17"/>
        <v>#DIV/0!</v>
      </c>
      <c r="AA428" s="2" t="e">
        <v>#NUM!</v>
      </c>
    </row>
    <row r="429" spans="16:27">
      <c r="T429" s="2">
        <v>183.75</v>
      </c>
      <c r="U429" s="4">
        <v>-1.5900899212185123E-2</v>
      </c>
      <c r="V429" s="4">
        <v>-4.9611569136556011E-2</v>
      </c>
      <c r="X429" s="2">
        <v>97.762500000000003</v>
      </c>
      <c r="Y429" s="2" t="e">
        <f t="shared" si="17"/>
        <v>#DIV/0!</v>
      </c>
      <c r="AA429" s="2" t="e">
        <v>#NUM!</v>
      </c>
    </row>
    <row r="430" spans="16:27">
      <c r="P430" s="2">
        <v>7</v>
      </c>
      <c r="Q430" s="2" t="s">
        <v>135</v>
      </c>
      <c r="T430" s="2">
        <v>184</v>
      </c>
      <c r="U430" s="4">
        <v>-1.4561988870977212E-2</v>
      </c>
      <c r="V430" s="4">
        <v>-4.8318523652388062E-2</v>
      </c>
      <c r="X430" s="2">
        <v>96.5</v>
      </c>
      <c r="Y430" s="2" t="e">
        <f t="shared" si="17"/>
        <v>#DIV/0!</v>
      </c>
      <c r="AA430" s="2" t="e">
        <v>#NUM!</v>
      </c>
    </row>
    <row r="431" spans="16:27">
      <c r="T431" s="2">
        <v>184</v>
      </c>
      <c r="U431" s="4">
        <v>-1.4561988870977212E-2</v>
      </c>
      <c r="V431" s="4">
        <v>-4.8318523652388062E-2</v>
      </c>
      <c r="X431" s="2">
        <v>96.75</v>
      </c>
      <c r="Y431" s="2" t="e">
        <f t="shared" si="17"/>
        <v>#DIV/0!</v>
      </c>
      <c r="AA431" s="2" t="e">
        <v>#NUM!</v>
      </c>
    </row>
    <row r="432" spans="16:27">
      <c r="T432" s="2">
        <v>184.25</v>
      </c>
      <c r="U432" s="4">
        <v>-1.3223078529769301E-2</v>
      </c>
      <c r="V432" s="4">
        <v>-4.7025478168220107E-2</v>
      </c>
      <c r="Y432" s="2" t="e">
        <f t="shared" si="17"/>
        <v>#DIV/0!</v>
      </c>
      <c r="AA432" s="2" t="e">
        <v>#NUM!</v>
      </c>
    </row>
    <row r="433" spans="17:27">
      <c r="T433" s="2">
        <v>184.5</v>
      </c>
      <c r="U433" s="4">
        <v>-1.1884168188561389E-2</v>
      </c>
      <c r="V433" s="4">
        <v>-4.5732432684052159E-2</v>
      </c>
      <c r="Y433" s="2" t="e">
        <f t="shared" si="17"/>
        <v>#DIV/0!</v>
      </c>
      <c r="AA433" s="2" t="e">
        <v>#NUM!</v>
      </c>
    </row>
    <row r="434" spans="17:27">
      <c r="T434" s="2">
        <v>184.25</v>
      </c>
      <c r="U434" s="4">
        <v>-1.3223078529769301E-2</v>
      </c>
      <c r="V434" s="4">
        <v>-4.7025478168220107E-2</v>
      </c>
      <c r="Y434" s="2" t="e">
        <f t="shared" si="17"/>
        <v>#DIV/0!</v>
      </c>
      <c r="AA434" s="2" t="e">
        <v>#NUM!</v>
      </c>
    </row>
    <row r="435" spans="17:27">
      <c r="T435" s="2">
        <v>184</v>
      </c>
      <c r="U435" s="4">
        <v>-1.4561988870977212E-2</v>
      </c>
      <c r="V435" s="4">
        <v>-4.8318523652388062E-2</v>
      </c>
      <c r="W435" s="2">
        <v>47</v>
      </c>
      <c r="X435" s="2">
        <v>97</v>
      </c>
      <c r="Y435" s="2">
        <f t="shared" si="17"/>
        <v>17.825918762088975</v>
      </c>
      <c r="AA435" s="2">
        <v>15.907710638297873</v>
      </c>
    </row>
    <row r="436" spans="17:27">
      <c r="T436" s="2">
        <v>184</v>
      </c>
      <c r="U436" s="4">
        <v>-1.4561988870977212E-2</v>
      </c>
      <c r="V436" s="4">
        <v>-4.8318523652388062E-2</v>
      </c>
      <c r="Y436" s="2" t="e">
        <f t="shared" si="17"/>
        <v>#DIV/0!</v>
      </c>
      <c r="AA436" s="2" t="e">
        <v>#NUM!</v>
      </c>
    </row>
    <row r="437" spans="17:27">
      <c r="T437" s="2">
        <v>183.75</v>
      </c>
      <c r="U437" s="4">
        <v>-1.5900899212185123E-2</v>
      </c>
      <c r="V437" s="4">
        <v>-4.9611569136556011E-2</v>
      </c>
      <c r="Y437" s="2" t="e">
        <f t="shared" si="17"/>
        <v>#DIV/0!</v>
      </c>
      <c r="AA437" s="2" t="e">
        <v>#NUM!</v>
      </c>
    </row>
    <row r="438" spans="17:27">
      <c r="T438" s="2">
        <v>183.75</v>
      </c>
      <c r="U438" s="4">
        <v>-1.5900899212185123E-2</v>
      </c>
      <c r="V438" s="4">
        <v>-4.9611569136556011E-2</v>
      </c>
      <c r="W438" s="2">
        <v>47.5</v>
      </c>
      <c r="X438" s="2">
        <v>99</v>
      </c>
      <c r="Y438" s="2">
        <f t="shared" si="17"/>
        <v>17.638277511961721</v>
      </c>
      <c r="AA438" s="2">
        <v>15.740261052631579</v>
      </c>
    </row>
    <row r="439" spans="17:27">
      <c r="T439" s="2">
        <v>183.75</v>
      </c>
      <c r="U439" s="4">
        <v>-1.5900899212185123E-2</v>
      </c>
      <c r="V439" s="4">
        <v>-4.9611569136556011E-2</v>
      </c>
      <c r="X439" s="2">
        <v>97</v>
      </c>
      <c r="Y439" s="2" t="e">
        <f t="shared" si="17"/>
        <v>#DIV/0!</v>
      </c>
      <c r="AA439" s="2" t="e">
        <v>#NUM!</v>
      </c>
    </row>
    <row r="440" spans="17:27">
      <c r="U440" s="4" t="e">
        <v>#NUM!</v>
      </c>
      <c r="V440" s="4" t="e">
        <v>#NUM!</v>
      </c>
      <c r="W440" s="2">
        <v>48.5</v>
      </c>
      <c r="Y440" s="2">
        <f t="shared" si="17"/>
        <v>17.274601686972819</v>
      </c>
      <c r="AA440" s="2">
        <v>15.415719587628866</v>
      </c>
    </row>
    <row r="441" spans="17:27">
      <c r="T441" s="2">
        <v>184</v>
      </c>
      <c r="U441" s="4">
        <v>-1.4561988870977212E-2</v>
      </c>
      <c r="V441" s="4">
        <v>-4.8318523652388062E-2</v>
      </c>
      <c r="Y441" s="2" t="e">
        <f t="shared" si="17"/>
        <v>#DIV/0!</v>
      </c>
      <c r="AA441" s="2" t="e">
        <v>#NUM!</v>
      </c>
    </row>
    <row r="442" spans="17:27">
      <c r="T442" s="2">
        <v>184</v>
      </c>
      <c r="U442" s="4">
        <v>-1.4561988870977212E-2</v>
      </c>
      <c r="V442" s="4">
        <v>-4.8318523652388062E-2</v>
      </c>
      <c r="Y442" s="2" t="e">
        <f t="shared" si="17"/>
        <v>#DIV/0!</v>
      </c>
      <c r="AA442" s="2" t="e">
        <v>#NUM!</v>
      </c>
    </row>
    <row r="443" spans="17:27">
      <c r="T443" s="2">
        <v>183.75</v>
      </c>
      <c r="U443" s="4">
        <v>-1.5900899212185123E-2</v>
      </c>
      <c r="V443" s="4">
        <v>-4.9611569136556011E-2</v>
      </c>
      <c r="Y443" s="2" t="e">
        <f t="shared" si="17"/>
        <v>#DIV/0!</v>
      </c>
      <c r="AA443" s="2" t="e">
        <v>#NUM!</v>
      </c>
    </row>
    <row r="444" spans="17:27">
      <c r="T444" s="2">
        <v>184.75</v>
      </c>
      <c r="U444" s="4">
        <v>-1.0545257847353478E-2</v>
      </c>
      <c r="V444" s="4">
        <v>-4.443938719988421E-2</v>
      </c>
      <c r="Y444" s="2" t="e">
        <f t="shared" si="17"/>
        <v>#DIV/0!</v>
      </c>
      <c r="AA444" s="2" t="e">
        <v>#NUM!</v>
      </c>
    </row>
    <row r="445" spans="17:27">
      <c r="T445" s="2">
        <v>183.75</v>
      </c>
      <c r="U445" s="4">
        <v>-1.5900899212185123E-2</v>
      </c>
      <c r="V445" s="4">
        <v>-4.9611569136556011E-2</v>
      </c>
      <c r="Y445" s="2" t="e">
        <f t="shared" si="17"/>
        <v>#DIV/0!</v>
      </c>
      <c r="AA445" s="2" t="e">
        <v>#NUM!</v>
      </c>
    </row>
    <row r="446" spans="17:27">
      <c r="T446" s="2">
        <v>184</v>
      </c>
      <c r="U446" s="4">
        <v>-1.4561988870977212E-2</v>
      </c>
      <c r="V446" s="4">
        <v>-4.8318523652388062E-2</v>
      </c>
      <c r="Y446" s="2" t="e">
        <f t="shared" si="17"/>
        <v>#DIV/0!</v>
      </c>
      <c r="AA446" s="2" t="e">
        <v>#NUM!</v>
      </c>
    </row>
    <row r="447" spans="17:27">
      <c r="Q447" s="2" t="s">
        <v>134</v>
      </c>
      <c r="T447" s="2">
        <v>184</v>
      </c>
      <c r="U447" s="4">
        <v>-1.4561988870977212E-2</v>
      </c>
      <c r="V447" s="4">
        <v>-4.8318523652388062E-2</v>
      </c>
      <c r="W447" s="2">
        <v>47.75</v>
      </c>
      <c r="X447" s="2">
        <v>97</v>
      </c>
      <c r="Y447" s="2">
        <f t="shared" si="17"/>
        <v>17.545930509281291</v>
      </c>
      <c r="AA447" s="2">
        <v>15.657851308900524</v>
      </c>
    </row>
    <row r="448" spans="17:27">
      <c r="T448" s="2">
        <v>184.25</v>
      </c>
      <c r="U448" s="4">
        <v>-1.3223078529769301E-2</v>
      </c>
      <c r="V448" s="4">
        <v>-4.7025478168220107E-2</v>
      </c>
      <c r="W448" s="2">
        <v>47.5</v>
      </c>
      <c r="X448" s="2">
        <v>96.75</v>
      </c>
      <c r="Y448" s="2">
        <f t="shared" si="17"/>
        <v>17.638277511961721</v>
      </c>
      <c r="AA448" s="2">
        <v>15.740261052631579</v>
      </c>
    </row>
    <row r="449" spans="16:27">
      <c r="T449" s="2">
        <v>184.5</v>
      </c>
      <c r="U449" s="4">
        <v>-1.1884168188561389E-2</v>
      </c>
      <c r="V449" s="4">
        <v>-4.5732432684052159E-2</v>
      </c>
      <c r="X449" s="2">
        <v>97</v>
      </c>
      <c r="Y449" s="2" t="e">
        <f t="shared" si="17"/>
        <v>#DIV/0!</v>
      </c>
      <c r="AA449" s="2" t="e">
        <v>#NUM!</v>
      </c>
    </row>
    <row r="450" spans="16:27">
      <c r="T450" s="2">
        <v>184.75</v>
      </c>
      <c r="U450" s="4">
        <v>-1.0545257847353478E-2</v>
      </c>
      <c r="V450" s="4">
        <v>-4.443938719988421E-2</v>
      </c>
      <c r="Y450" s="2" t="e">
        <f t="shared" si="17"/>
        <v>#DIV/0!</v>
      </c>
      <c r="AA450" s="2" t="e">
        <v>#NUM!</v>
      </c>
    </row>
    <row r="451" spans="16:27">
      <c r="T451" s="2">
        <v>185</v>
      </c>
      <c r="U451" s="4">
        <v>-9.2063475061455666E-3</v>
      </c>
      <c r="V451" s="4">
        <v>-4.3146341715716255E-2</v>
      </c>
      <c r="Y451" s="2" t="e">
        <f t="shared" si="17"/>
        <v>#DIV/0!</v>
      </c>
      <c r="AA451" s="2" t="e">
        <v>#NUM!</v>
      </c>
    </row>
    <row r="452" spans="16:27">
      <c r="T452" s="2">
        <v>185</v>
      </c>
      <c r="U452" s="4">
        <v>-9.2063475061455666E-3</v>
      </c>
      <c r="V452" s="4">
        <v>-4.3146341715716255E-2</v>
      </c>
      <c r="Y452" s="2" t="e">
        <f t="shared" ref="Y452:Y484" si="18">32*24/22/W452*24</f>
        <v>#DIV/0!</v>
      </c>
      <c r="AA452" s="2" t="e">
        <v>#NUM!</v>
      </c>
    </row>
    <row r="453" spans="16:27">
      <c r="T453" s="2">
        <v>185.25</v>
      </c>
      <c r="U453" s="4">
        <v>-7.8674371649376552E-3</v>
      </c>
      <c r="V453" s="4">
        <v>-4.1853296231548306E-2</v>
      </c>
      <c r="Y453" s="2" t="e">
        <f t="shared" si="18"/>
        <v>#DIV/0!</v>
      </c>
      <c r="AA453" s="2" t="e">
        <v>#NUM!</v>
      </c>
    </row>
    <row r="454" spans="16:27">
      <c r="T454" s="2">
        <v>185.5</v>
      </c>
      <c r="U454" s="4">
        <v>-6.5285268237297439E-3</v>
      </c>
      <c r="V454" s="4">
        <v>-4.0560250747380351E-2</v>
      </c>
      <c r="Y454" s="2" t="e">
        <f t="shared" si="18"/>
        <v>#DIV/0!</v>
      </c>
      <c r="AA454" s="2" t="e">
        <v>#NUM!</v>
      </c>
    </row>
    <row r="455" spans="16:27">
      <c r="U455" s="4" t="e">
        <v>#NUM!</v>
      </c>
      <c r="V455" s="4" t="e">
        <v>#NUM!</v>
      </c>
      <c r="Y455" s="2" t="e">
        <f t="shared" si="18"/>
        <v>#DIV/0!</v>
      </c>
      <c r="AA455" s="2" t="e">
        <v>#NUM!</v>
      </c>
    </row>
    <row r="456" spans="16:27">
      <c r="T456" s="2">
        <v>186.5</v>
      </c>
      <c r="U456" s="4">
        <v>-1.1728854588980988E-3</v>
      </c>
      <c r="V456" s="4">
        <v>-3.5388068810708551E-2</v>
      </c>
      <c r="W456" s="2">
        <v>48</v>
      </c>
      <c r="Y456" s="2">
        <f t="shared" si="18"/>
        <v>17.454545454545453</v>
      </c>
      <c r="AA456" s="2">
        <v>15.5763</v>
      </c>
    </row>
    <row r="457" spans="16:27">
      <c r="T457" s="2">
        <v>183.75</v>
      </c>
      <c r="U457" s="4">
        <v>-1.5900899212185123E-2</v>
      </c>
      <c r="V457" s="4">
        <v>-4.9611569136556011E-2</v>
      </c>
      <c r="Y457" s="2" t="e">
        <f t="shared" si="18"/>
        <v>#DIV/0!</v>
      </c>
      <c r="AA457" s="2" t="e">
        <v>#NUM!</v>
      </c>
    </row>
    <row r="458" spans="16:27">
      <c r="T458" s="2">
        <v>186</v>
      </c>
      <c r="U458" s="4">
        <v>-3.8507061413139217E-3</v>
      </c>
      <c r="V458" s="4">
        <v>-3.7974159779044454E-2</v>
      </c>
      <c r="Y458" s="2" t="e">
        <f t="shared" si="18"/>
        <v>#DIV/0!</v>
      </c>
      <c r="AA458" s="2" t="e">
        <v>#NUM!</v>
      </c>
    </row>
    <row r="459" spans="16:27">
      <c r="P459" s="2">
        <v>8</v>
      </c>
      <c r="Q459" s="2" t="s">
        <v>133</v>
      </c>
      <c r="T459" s="2">
        <v>186</v>
      </c>
      <c r="U459" s="4">
        <v>-3.8507061413139217E-3</v>
      </c>
      <c r="V459" s="4">
        <v>-3.7974159779044454E-2</v>
      </c>
      <c r="Y459" s="2" t="e">
        <f t="shared" si="18"/>
        <v>#DIV/0!</v>
      </c>
      <c r="AA459" s="2" t="e">
        <v>#NUM!</v>
      </c>
    </row>
    <row r="460" spans="16:27">
      <c r="T460" s="2">
        <v>185.5</v>
      </c>
      <c r="U460" s="4">
        <v>-6.5285268237297439E-3</v>
      </c>
      <c r="V460" s="4">
        <v>-4.0560250747380351E-2</v>
      </c>
      <c r="Y460" s="2" t="e">
        <f t="shared" si="18"/>
        <v>#DIV/0!</v>
      </c>
      <c r="AA460" s="2" t="e">
        <v>#NUM!</v>
      </c>
    </row>
    <row r="461" spans="16:27">
      <c r="T461" s="2">
        <v>183</v>
      </c>
      <c r="U461" s="4">
        <v>-1.9917630235808857E-2</v>
      </c>
      <c r="V461" s="4">
        <v>-5.3490705589059863E-2</v>
      </c>
      <c r="Y461" s="2" t="e">
        <f t="shared" si="18"/>
        <v>#DIV/0!</v>
      </c>
      <c r="AA461" s="2" t="e">
        <v>#NUM!</v>
      </c>
    </row>
    <row r="462" spans="16:27">
      <c r="T462" s="2">
        <v>183.5</v>
      </c>
      <c r="U462" s="4">
        <v>-1.7239809553393035E-2</v>
      </c>
      <c r="V462" s="4">
        <v>-5.0904614620723959E-2</v>
      </c>
      <c r="X462" s="2">
        <v>98</v>
      </c>
      <c r="Y462" s="2" t="e">
        <f t="shared" si="18"/>
        <v>#DIV/0!</v>
      </c>
      <c r="AA462" s="2" t="e">
        <v>#NUM!</v>
      </c>
    </row>
    <row r="463" spans="16:27">
      <c r="T463" s="2">
        <v>183</v>
      </c>
      <c r="U463" s="4">
        <v>-1.9917630235808857E-2</v>
      </c>
      <c r="V463" s="4">
        <v>-5.3490705589059863E-2</v>
      </c>
      <c r="X463" s="2">
        <v>98.5</v>
      </c>
      <c r="Y463" s="2" t="e">
        <f t="shared" si="18"/>
        <v>#DIV/0!</v>
      </c>
      <c r="AA463" s="2" t="e">
        <v>#NUM!</v>
      </c>
    </row>
    <row r="464" spans="16:27">
      <c r="T464" s="2">
        <v>182.5</v>
      </c>
      <c r="U464" s="4">
        <v>-2.259545091822468E-2</v>
      </c>
      <c r="V464" s="4">
        <v>-5.6076796557395767E-2</v>
      </c>
      <c r="W464" s="2">
        <v>48.25</v>
      </c>
      <c r="Y464" s="2">
        <f t="shared" si="18"/>
        <v>17.364107395195475</v>
      </c>
      <c r="AA464" s="2">
        <v>15.49559378238342</v>
      </c>
    </row>
    <row r="465" spans="17:27">
      <c r="T465" s="2">
        <v>182</v>
      </c>
      <c r="U465" s="4">
        <v>-2.5273271600640503E-2</v>
      </c>
      <c r="V465" s="4">
        <v>-5.866288752573167E-2</v>
      </c>
      <c r="Y465" s="2" t="e">
        <f t="shared" si="18"/>
        <v>#DIV/0!</v>
      </c>
      <c r="AA465" s="2" t="e">
        <v>#NUM!</v>
      </c>
    </row>
    <row r="466" spans="17:27">
      <c r="T466" s="2">
        <v>183</v>
      </c>
      <c r="U466" s="4">
        <v>-1.9917630235808857E-2</v>
      </c>
      <c r="V466" s="4">
        <v>-5.3490705589059863E-2</v>
      </c>
      <c r="Y466" s="2" t="e">
        <f t="shared" si="18"/>
        <v>#DIV/0!</v>
      </c>
      <c r="AA466" s="2" t="e">
        <v>#NUM!</v>
      </c>
    </row>
    <row r="467" spans="17:27">
      <c r="U467" s="4" t="e">
        <v>#NUM!</v>
      </c>
      <c r="V467" s="4" t="e">
        <v>#NUM!</v>
      </c>
      <c r="Y467" s="2" t="e">
        <f t="shared" si="18"/>
        <v>#DIV/0!</v>
      </c>
      <c r="AA467" s="2" t="e">
        <v>#NUM!</v>
      </c>
    </row>
    <row r="468" spans="17:27">
      <c r="T468" s="2">
        <v>184.5</v>
      </c>
      <c r="U468" s="4">
        <v>-1.1884168188561389E-2</v>
      </c>
      <c r="V468" s="4">
        <v>-4.5732432684052159E-2</v>
      </c>
      <c r="Y468" s="2" t="e">
        <f t="shared" si="18"/>
        <v>#DIV/0!</v>
      </c>
      <c r="AA468" s="2" t="e">
        <v>#NUM!</v>
      </c>
    </row>
    <row r="469" spans="17:27">
      <c r="T469" s="2">
        <v>183</v>
      </c>
      <c r="U469" s="4">
        <v>-1.9917630235808857E-2</v>
      </c>
      <c r="V469" s="4">
        <v>-5.3490705589059863E-2</v>
      </c>
      <c r="Y469" s="2" t="e">
        <f t="shared" si="18"/>
        <v>#DIV/0!</v>
      </c>
      <c r="AA469" s="2" t="e">
        <v>#NUM!</v>
      </c>
    </row>
    <row r="470" spans="17:27">
      <c r="T470" s="2">
        <v>184</v>
      </c>
      <c r="U470" s="4">
        <v>-1.4561988870977212E-2</v>
      </c>
      <c r="V470" s="4">
        <v>-4.8318523652388062E-2</v>
      </c>
      <c r="X470" s="2">
        <v>98</v>
      </c>
      <c r="Y470" s="2" t="e">
        <f t="shared" si="18"/>
        <v>#DIV/0!</v>
      </c>
      <c r="AA470" s="2" t="e">
        <v>#NUM!</v>
      </c>
    </row>
    <row r="471" spans="17:27">
      <c r="T471" s="2">
        <v>182.75</v>
      </c>
      <c r="U471" s="4">
        <v>-2.1256540577016769E-2</v>
      </c>
      <c r="V471" s="4">
        <v>-5.4783751073227818E-2</v>
      </c>
      <c r="Y471" s="2" t="e">
        <f t="shared" si="18"/>
        <v>#DIV/0!</v>
      </c>
      <c r="AA471" s="2" t="e">
        <v>#NUM!</v>
      </c>
    </row>
    <row r="472" spans="17:27">
      <c r="T472" s="2">
        <v>184</v>
      </c>
      <c r="U472" s="4">
        <v>-1.4561988870977212E-2</v>
      </c>
      <c r="V472" s="4">
        <v>-4.8318523652388062E-2</v>
      </c>
      <c r="W472" s="2">
        <v>48.5</v>
      </c>
      <c r="Y472" s="2">
        <f t="shared" si="18"/>
        <v>17.274601686972819</v>
      </c>
      <c r="AA472" s="2">
        <v>15.415719587628866</v>
      </c>
    </row>
    <row r="473" spans="17:27">
      <c r="T473" s="2">
        <v>184</v>
      </c>
      <c r="U473" s="4">
        <v>-1.4561988870977212E-2</v>
      </c>
      <c r="V473" s="4">
        <v>-4.8318523652388062E-2</v>
      </c>
      <c r="Y473" s="2" t="e">
        <f t="shared" si="18"/>
        <v>#DIV/0!</v>
      </c>
      <c r="AA473" s="2" t="e">
        <v>#NUM!</v>
      </c>
    </row>
    <row r="474" spans="17:27">
      <c r="Q474" s="2" t="s">
        <v>132</v>
      </c>
      <c r="T474" s="2">
        <v>183.5</v>
      </c>
      <c r="U474" s="4">
        <v>-1.7239809553393035E-2</v>
      </c>
      <c r="V474" s="4">
        <v>-5.0904614620723959E-2</v>
      </c>
      <c r="W474" s="2">
        <v>49.75</v>
      </c>
      <c r="Y474" s="2">
        <f t="shared" si="18"/>
        <v>16.84056646870717</v>
      </c>
      <c r="AA474" s="2">
        <v>15.028389949748744</v>
      </c>
    </row>
    <row r="475" spans="17:27">
      <c r="T475" s="2">
        <v>186</v>
      </c>
      <c r="U475" s="4">
        <v>-3.8507061413139217E-3</v>
      </c>
      <c r="V475" s="4">
        <v>-3.7974159779044454E-2</v>
      </c>
      <c r="W475" s="2">
        <v>49</v>
      </c>
      <c r="Y475" s="2">
        <f t="shared" si="18"/>
        <v>17.098330241187384</v>
      </c>
      <c r="AA475" s="2">
        <v>15.258416326530613</v>
      </c>
    </row>
    <row r="476" spans="17:27">
      <c r="T476" s="2">
        <v>186</v>
      </c>
      <c r="U476" s="4">
        <v>-3.8507061413139217E-3</v>
      </c>
      <c r="V476" s="4">
        <v>-3.7974159779044454E-2</v>
      </c>
      <c r="Y476" s="2" t="e">
        <f t="shared" si="18"/>
        <v>#DIV/0!</v>
      </c>
      <c r="AA476" s="2" t="e">
        <v>#NUM!</v>
      </c>
    </row>
    <row r="477" spans="17:27">
      <c r="T477" s="2">
        <v>184</v>
      </c>
      <c r="U477" s="4">
        <v>-1.4561988870977212E-2</v>
      </c>
      <c r="V477" s="4">
        <v>-4.8318523652388062E-2</v>
      </c>
      <c r="W477" s="2">
        <v>49.25</v>
      </c>
      <c r="Y477" s="2">
        <f t="shared" si="18"/>
        <v>17.01153668666359</v>
      </c>
      <c r="AA477" s="2">
        <v>15.180962436548223</v>
      </c>
    </row>
    <row r="478" spans="17:27">
      <c r="T478" s="2">
        <v>181</v>
      </c>
      <c r="U478" s="4">
        <v>-3.0628912965472148E-2</v>
      </c>
      <c r="V478" s="4">
        <v>-6.3835069462403471E-2</v>
      </c>
      <c r="Y478" s="2" t="e">
        <f t="shared" si="18"/>
        <v>#DIV/0!</v>
      </c>
      <c r="AA478" s="2" t="e">
        <v>#NUM!</v>
      </c>
    </row>
    <row r="479" spans="17:27">
      <c r="T479" s="2">
        <v>183.75</v>
      </c>
      <c r="U479" s="4">
        <v>-1.5900899212185123E-2</v>
      </c>
      <c r="V479" s="4">
        <v>-4.9611569136556011E-2</v>
      </c>
      <c r="X479" s="2">
        <v>97.5</v>
      </c>
      <c r="Y479" s="2" t="e">
        <f t="shared" si="18"/>
        <v>#DIV/0!</v>
      </c>
      <c r="AA479" s="2" t="e">
        <v>#NUM!</v>
      </c>
    </row>
    <row r="480" spans="17:27">
      <c r="T480" s="2">
        <v>186.5</v>
      </c>
      <c r="U480" s="4">
        <v>-1.1728854588980988E-3</v>
      </c>
      <c r="V480" s="4">
        <v>-3.5388068810708551E-2</v>
      </c>
      <c r="Y480" s="2" t="e">
        <f t="shared" si="18"/>
        <v>#DIV/0!</v>
      </c>
      <c r="AA480" s="2" t="e">
        <v>#NUM!</v>
      </c>
    </row>
    <row r="481" spans="16:27">
      <c r="T481" s="2">
        <v>186.5</v>
      </c>
      <c r="U481" s="4">
        <v>-1.1728854588980988E-3</v>
      </c>
      <c r="V481" s="4">
        <v>-3.5388068810708551E-2</v>
      </c>
      <c r="X481" s="2">
        <v>99.5</v>
      </c>
      <c r="Y481" s="2" t="e">
        <f t="shared" si="18"/>
        <v>#DIV/0!</v>
      </c>
      <c r="AA481" s="2" t="e">
        <v>#NUM!</v>
      </c>
    </row>
    <row r="482" spans="16:27">
      <c r="T482" s="2">
        <v>185</v>
      </c>
      <c r="U482" s="4">
        <v>-9.2063475061455666E-3</v>
      </c>
      <c r="V482" s="4">
        <v>-4.3146341715716255E-2</v>
      </c>
      <c r="X482" s="2">
        <v>99</v>
      </c>
      <c r="Y482" s="2" t="e">
        <f t="shared" si="18"/>
        <v>#DIV/0!</v>
      </c>
      <c r="AA482" s="2" t="e">
        <v>#NUM!</v>
      </c>
    </row>
    <row r="483" spans="16:27">
      <c r="T483" s="2">
        <v>186.5</v>
      </c>
      <c r="U483" s="4">
        <v>-1.1728854588980988E-3</v>
      </c>
      <c r="V483" s="4">
        <v>-3.5388068810708551E-2</v>
      </c>
      <c r="Y483" s="2" t="e">
        <f t="shared" si="18"/>
        <v>#DIV/0!</v>
      </c>
      <c r="AA483" s="2" t="e">
        <v>#NUM!</v>
      </c>
    </row>
    <row r="484" spans="16:27">
      <c r="T484" s="2">
        <v>185.25</v>
      </c>
      <c r="U484" s="4">
        <v>-7.8674371649376552E-3</v>
      </c>
      <c r="V484" s="4">
        <v>-4.1853296231548306E-2</v>
      </c>
      <c r="W484" s="2">
        <v>49.5</v>
      </c>
      <c r="Y484" s="2">
        <f t="shared" si="18"/>
        <v>16.925619834710741</v>
      </c>
      <c r="AA484" s="2">
        <v>15.104290909090908</v>
      </c>
    </row>
    <row r="485" spans="16:27">
      <c r="T485" s="2">
        <v>186.5</v>
      </c>
      <c r="U485" s="4">
        <v>-1.1728854588980988E-3</v>
      </c>
      <c r="V485" s="4">
        <v>-3.5388068810708551E-2</v>
      </c>
    </row>
    <row r="486" spans="16:27">
      <c r="T486" s="2">
        <v>186.5</v>
      </c>
      <c r="U486" s="4">
        <v>-1.1728854588980988E-3</v>
      </c>
      <c r="V486" s="4">
        <v>-3.5388068810708551E-2</v>
      </c>
    </row>
    <row r="487" spans="16:27">
      <c r="T487" s="2">
        <v>185.32499999999999</v>
      </c>
      <c r="U487" s="4">
        <v>-7.4657640625753431E-3</v>
      </c>
      <c r="V487" s="4">
        <v>-4.1465382586297977E-2</v>
      </c>
    </row>
    <row r="488" spans="16:27">
      <c r="P488" s="2">
        <v>9</v>
      </c>
      <c r="Q488" s="2" t="s">
        <v>131</v>
      </c>
      <c r="T488" s="2">
        <v>185</v>
      </c>
      <c r="U488" s="4">
        <v>-9.2063475061455666E-3</v>
      </c>
      <c r="V488" s="4">
        <v>-4.3146341715716255E-2</v>
      </c>
    </row>
    <row r="489" spans="16:27">
      <c r="T489" s="2">
        <v>185.25</v>
      </c>
      <c r="U489" s="4">
        <v>-7.8674371649376552E-3</v>
      </c>
      <c r="V489" s="4">
        <v>-4.1853296231548306E-2</v>
      </c>
    </row>
    <row r="490" spans="16:27">
      <c r="T490" s="2">
        <v>185.5</v>
      </c>
      <c r="U490" s="4">
        <v>-6.5285268237297439E-3</v>
      </c>
      <c r="V490" s="4">
        <v>-4.0560250747380351E-2</v>
      </c>
    </row>
    <row r="491" spans="16:27">
      <c r="T491" s="2">
        <v>185.5</v>
      </c>
      <c r="U491" s="4">
        <v>-6.5285268237297439E-3</v>
      </c>
      <c r="V491" s="4">
        <v>-4.0560250747380351E-2</v>
      </c>
    </row>
    <row r="492" spans="16:27">
      <c r="T492" s="2">
        <v>185.125</v>
      </c>
      <c r="U492" s="4">
        <v>-8.5368923355416109E-3</v>
      </c>
      <c r="V492" s="4">
        <v>-4.2499818973632281E-2</v>
      </c>
    </row>
    <row r="493" spans="16:27">
      <c r="T493" s="2">
        <v>186</v>
      </c>
      <c r="U493" s="4">
        <v>-3.8507061413139217E-3</v>
      </c>
      <c r="V493" s="4">
        <v>-3.7974159779044454E-2</v>
      </c>
    </row>
    <row r="494" spans="16:27">
      <c r="T494" s="2">
        <v>185</v>
      </c>
      <c r="U494" s="4">
        <v>-9.2063475061455666E-3</v>
      </c>
      <c r="V494" s="4">
        <v>-4.3146341715716255E-2</v>
      </c>
    </row>
    <row r="495" spans="16:27">
      <c r="T495" s="2">
        <v>185.625</v>
      </c>
      <c r="U495" s="4">
        <v>-5.8590716531257882E-3</v>
      </c>
      <c r="V495" s="4">
        <v>-3.9913728005296377E-2</v>
      </c>
    </row>
    <row r="496" spans="16:27">
      <c r="T496" s="2">
        <v>187</v>
      </c>
      <c r="U496" s="4">
        <v>1.5049352235177241E-3</v>
      </c>
      <c r="V496" s="4">
        <v>-3.2801977842372647E-2</v>
      </c>
    </row>
    <row r="497" spans="17:22">
      <c r="T497" s="2">
        <v>185.875</v>
      </c>
      <c r="U497" s="4">
        <v>-4.5201613119178769E-3</v>
      </c>
      <c r="V497" s="4">
        <v>-3.8620682521128429E-2</v>
      </c>
    </row>
    <row r="498" spans="17:22">
      <c r="T498" s="2">
        <v>185.875</v>
      </c>
      <c r="U498" s="4">
        <v>-4.5201613119178769E-3</v>
      </c>
      <c r="V498" s="4">
        <v>-3.8620682521128429E-2</v>
      </c>
    </row>
    <row r="499" spans="17:22">
      <c r="T499" s="2">
        <v>185.75</v>
      </c>
      <c r="U499" s="4">
        <v>-5.1896164825218326E-3</v>
      </c>
      <c r="V499" s="4">
        <v>-3.9267205263212403E-2</v>
      </c>
    </row>
    <row r="500" spans="17:22">
      <c r="T500" s="2">
        <v>185.625</v>
      </c>
      <c r="U500" s="4">
        <v>-5.8590716531257882E-3</v>
      </c>
      <c r="V500" s="4">
        <v>-3.9913728005296377E-2</v>
      </c>
    </row>
    <row r="501" spans="17:22">
      <c r="T501" s="2">
        <v>184.5</v>
      </c>
      <c r="U501" s="4">
        <v>-1.1884168188561389E-2</v>
      </c>
      <c r="V501" s="4">
        <v>-4.5732432684052159E-2</v>
      </c>
    </row>
    <row r="502" spans="17:22">
      <c r="Q502" s="2" t="s">
        <v>143</v>
      </c>
      <c r="T502" s="2">
        <v>185.625</v>
      </c>
      <c r="U502" s="4">
        <v>-5.8590716531257882E-3</v>
      </c>
      <c r="V502" s="4">
        <v>-3.9913728005296377E-2</v>
      </c>
    </row>
    <row r="503" spans="17:22">
      <c r="T503" s="2">
        <v>186</v>
      </c>
      <c r="U503" s="4">
        <v>-3.8507061413139217E-3</v>
      </c>
      <c r="V503" s="4">
        <v>-3.7974159779044454E-2</v>
      </c>
    </row>
    <row r="504" spans="17:22">
      <c r="T504" s="2">
        <v>187</v>
      </c>
      <c r="U504" s="4">
        <v>1.5049352235177241E-3</v>
      </c>
      <c r="V504" s="4">
        <v>-3.2801977842372647E-2</v>
      </c>
    </row>
    <row r="505" spans="17:22">
      <c r="T505" s="2">
        <v>185.75</v>
      </c>
      <c r="U505" s="4">
        <v>-5.1896164825218326E-3</v>
      </c>
      <c r="V505" s="4">
        <v>-3.9267205263212403E-2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2"/>
  <sheetViews>
    <sheetView zoomScaleSheetLayoutView="1" workbookViewId="0"/>
  </sheetViews>
  <sheetFormatPr defaultRowHeight="12.75"/>
  <cols>
    <col min="1" max="3" width="9.140625" style="2"/>
    <col min="4" max="16384" width="9.140625" style="1"/>
  </cols>
  <sheetData>
    <row r="1" spans="1:3">
      <c r="A1" s="2" t="s">
        <v>45</v>
      </c>
      <c r="B1" s="2" t="s">
        <v>142</v>
      </c>
      <c r="C1" s="2" t="s">
        <v>96</v>
      </c>
    </row>
    <row r="2" spans="1:3">
      <c r="A2" s="2">
        <v>26</v>
      </c>
      <c r="B2" s="2">
        <v>1385</v>
      </c>
      <c r="C2" s="2">
        <v>172</v>
      </c>
    </row>
    <row r="3" spans="1:3">
      <c r="A3" s="2" t="s">
        <v>111</v>
      </c>
      <c r="B3" s="2">
        <v>1420</v>
      </c>
      <c r="C3" s="2">
        <v>204</v>
      </c>
    </row>
    <row r="4" spans="1:3">
      <c r="A4" s="2">
        <v>6</v>
      </c>
      <c r="B4" s="2">
        <v>1485</v>
      </c>
      <c r="C4" s="2">
        <v>200</v>
      </c>
    </row>
    <row r="5" spans="1:3">
      <c r="A5" s="2">
        <v>11</v>
      </c>
      <c r="B5" s="2">
        <v>1675</v>
      </c>
      <c r="C5" s="2">
        <v>185</v>
      </c>
    </row>
    <row r="6" spans="1:3">
      <c r="A6" s="2">
        <v>16</v>
      </c>
      <c r="B6" s="2">
        <v>1515</v>
      </c>
      <c r="C6" s="2">
        <v>185</v>
      </c>
    </row>
    <row r="7" spans="1:3">
      <c r="A7" s="2">
        <v>21</v>
      </c>
      <c r="B7" s="2">
        <v>1637</v>
      </c>
      <c r="C7" s="2">
        <v>198</v>
      </c>
    </row>
    <row r="8" spans="1:3">
      <c r="A8" s="2">
        <v>26</v>
      </c>
      <c r="B8" s="2">
        <v>1535</v>
      </c>
      <c r="C8" s="2">
        <v>198</v>
      </c>
    </row>
    <row r="9" spans="1:3">
      <c r="A9" s="2" t="s">
        <v>27</v>
      </c>
      <c r="B9" s="2">
        <v>1685</v>
      </c>
      <c r="C9" s="2">
        <v>229</v>
      </c>
    </row>
    <row r="10" spans="1:3">
      <c r="A10" s="2">
        <v>6</v>
      </c>
      <c r="B10" s="2">
        <v>1800</v>
      </c>
      <c r="C10" s="2">
        <v>238</v>
      </c>
    </row>
    <row r="11" spans="1:3">
      <c r="A11" s="2">
        <v>11</v>
      </c>
      <c r="B11" s="2">
        <v>2030</v>
      </c>
      <c r="C11" s="2">
        <v>292</v>
      </c>
    </row>
    <row r="12" spans="1:3">
      <c r="A12" s="2">
        <v>16</v>
      </c>
      <c r="B12" s="2">
        <v>2375</v>
      </c>
      <c r="C12" s="2">
        <v>324</v>
      </c>
    </row>
    <row r="13" spans="1:3">
      <c r="A13" s="2">
        <v>21</v>
      </c>
      <c r="B13" s="2">
        <v>2450</v>
      </c>
      <c r="C13" s="2">
        <v>390</v>
      </c>
    </row>
    <row r="14" spans="1:3">
      <c r="A14" s="2">
        <v>26</v>
      </c>
      <c r="B14" s="2">
        <v>1800</v>
      </c>
      <c r="C14" s="2">
        <v>360</v>
      </c>
    </row>
    <row r="15" spans="1:3">
      <c r="A15" s="2" t="s">
        <v>38</v>
      </c>
      <c r="B15" s="2">
        <v>3200</v>
      </c>
      <c r="C15" s="2">
        <v>-100</v>
      </c>
    </row>
    <row r="16" spans="1:3">
      <c r="A16" s="2">
        <v>6</v>
      </c>
      <c r="B16" s="2">
        <v>2900</v>
      </c>
      <c r="C16" s="2">
        <v>-100</v>
      </c>
    </row>
    <row r="17" spans="1:3">
      <c r="A17" s="2">
        <v>11</v>
      </c>
      <c r="B17" s="2">
        <v>3150</v>
      </c>
      <c r="C17" s="2">
        <v>417</v>
      </c>
    </row>
    <row r="18" spans="1:3">
      <c r="A18" s="2">
        <v>16</v>
      </c>
      <c r="B18" s="2">
        <v>4000</v>
      </c>
      <c r="C18" s="2">
        <v>496</v>
      </c>
    </row>
    <row r="19" spans="1:3">
      <c r="A19" s="2">
        <v>21</v>
      </c>
      <c r="B19" s="2">
        <v>5000</v>
      </c>
      <c r="C19" s="2">
        <v>637</v>
      </c>
    </row>
    <row r="20" spans="1:3">
      <c r="A20" s="2">
        <v>26</v>
      </c>
      <c r="B20" s="2">
        <v>5800</v>
      </c>
      <c r="C20" s="2">
        <v>853</v>
      </c>
    </row>
    <row r="21" spans="1:3">
      <c r="A21" s="2" t="s">
        <v>37</v>
      </c>
      <c r="B21" s="2">
        <v>7800</v>
      </c>
      <c r="C21" s="2">
        <v>893</v>
      </c>
    </row>
    <row r="22" spans="1:3">
      <c r="A22" s="2">
        <v>6</v>
      </c>
      <c r="B22" s="2">
        <v>8700</v>
      </c>
      <c r="C22" s="2">
        <v>723</v>
      </c>
    </row>
    <row r="23" spans="1:3">
      <c r="A23" s="2">
        <v>11</v>
      </c>
      <c r="B23" s="2">
        <v>7000</v>
      </c>
      <c r="C23" s="2">
        <v>788</v>
      </c>
    </row>
    <row r="24" spans="1:3">
      <c r="A24" s="2">
        <v>16</v>
      </c>
      <c r="B24" s="2">
        <v>5000</v>
      </c>
      <c r="C24" s="2">
        <v>700</v>
      </c>
    </row>
    <row r="25" spans="1:3">
      <c r="A25" s="2">
        <v>21</v>
      </c>
      <c r="B25" s="2">
        <v>5900</v>
      </c>
      <c r="C25" s="2">
        <v>720</v>
      </c>
    </row>
    <row r="26" spans="1:3">
      <c r="A26" s="2">
        <v>26</v>
      </c>
      <c r="B26" s="2">
        <v>5450</v>
      </c>
      <c r="C26" s="2">
        <v>685</v>
      </c>
    </row>
    <row r="27" spans="1:3">
      <c r="A27" s="2" t="s">
        <v>36</v>
      </c>
      <c r="B27" s="2">
        <v>6100</v>
      </c>
      <c r="C27" s="2">
        <v>755</v>
      </c>
    </row>
    <row r="28" spans="1:3">
      <c r="A28" s="2">
        <v>6</v>
      </c>
      <c r="B28" s="2">
        <v>6550</v>
      </c>
      <c r="C28" s="2">
        <v>820</v>
      </c>
    </row>
    <row r="29" spans="1:3">
      <c r="A29" s="2">
        <v>11</v>
      </c>
      <c r="B29" s="2">
        <v>6400</v>
      </c>
      <c r="C29" s="2">
        <v>823</v>
      </c>
    </row>
    <row r="30" spans="1:3">
      <c r="A30" s="2">
        <v>16</v>
      </c>
      <c r="B30" s="2">
        <v>6350</v>
      </c>
      <c r="C30" s="2">
        <v>804</v>
      </c>
    </row>
    <row r="31" spans="1:3">
      <c r="A31" s="2">
        <v>21</v>
      </c>
      <c r="B31" s="2">
        <v>6250</v>
      </c>
      <c r="C31" s="2">
        <v>802</v>
      </c>
    </row>
    <row r="32" spans="1:3">
      <c r="A32" s="2">
        <v>26</v>
      </c>
      <c r="B32" s="2">
        <v>6400</v>
      </c>
      <c r="C32" s="2">
        <v>832</v>
      </c>
    </row>
    <row r="33" spans="1:3">
      <c r="A33" s="2" t="s">
        <v>35</v>
      </c>
      <c r="B33" s="2">
        <v>6750</v>
      </c>
      <c r="C33" s="2">
        <v>883</v>
      </c>
    </row>
    <row r="34" spans="1:3">
      <c r="A34" s="2">
        <v>6</v>
      </c>
      <c r="B34" s="2">
        <v>6950</v>
      </c>
      <c r="C34" s="2">
        <v>915</v>
      </c>
    </row>
    <row r="35" spans="1:3">
      <c r="A35" s="2">
        <v>11</v>
      </c>
      <c r="B35" s="2">
        <v>7400</v>
      </c>
      <c r="C35" s="2">
        <v>1050</v>
      </c>
    </row>
    <row r="36" spans="1:3">
      <c r="A36" s="2">
        <v>16</v>
      </c>
      <c r="B36" s="2">
        <v>7800</v>
      </c>
      <c r="C36" s="2">
        <v>1090</v>
      </c>
    </row>
    <row r="37" spans="1:3">
      <c r="A37" s="2">
        <v>21</v>
      </c>
      <c r="B37" s="2">
        <v>8050</v>
      </c>
      <c r="C37" s="2">
        <v>1154</v>
      </c>
    </row>
    <row r="38" spans="1:3">
      <c r="A38" s="2">
        <v>26</v>
      </c>
      <c r="B38" s="2">
        <v>7050</v>
      </c>
      <c r="C38" s="2">
        <v>1106</v>
      </c>
    </row>
    <row r="39" spans="1:3">
      <c r="A39" s="2" t="s">
        <v>141</v>
      </c>
      <c r="B39" s="2">
        <v>7200</v>
      </c>
      <c r="C39" s="2">
        <v>1165</v>
      </c>
    </row>
    <row r="40" spans="1:3">
      <c r="A40" s="2" t="s">
        <v>102</v>
      </c>
      <c r="B40" s="2">
        <v>7425</v>
      </c>
      <c r="C40" s="2">
        <v>1200</v>
      </c>
    </row>
    <row r="41" spans="1:3">
      <c r="A41" s="2">
        <v>6</v>
      </c>
      <c r="B41" s="2">
        <v>6850</v>
      </c>
      <c r="C41" s="2">
        <v>1180</v>
      </c>
    </row>
    <row r="42" spans="1:3">
      <c r="A42" s="2">
        <v>11</v>
      </c>
      <c r="B42" s="2">
        <v>7750</v>
      </c>
      <c r="C42" s="2">
        <v>1240</v>
      </c>
    </row>
    <row r="43" spans="1:3">
      <c r="A43" s="2">
        <v>16</v>
      </c>
      <c r="B43" s="2">
        <v>7500</v>
      </c>
      <c r="C43" s="2">
        <v>1190</v>
      </c>
    </row>
    <row r="44" spans="1:3">
      <c r="A44" s="2">
        <v>21</v>
      </c>
      <c r="B44" s="2">
        <v>8800</v>
      </c>
      <c r="C44" s="2">
        <v>1380</v>
      </c>
    </row>
    <row r="45" spans="1:3">
      <c r="A45" s="2">
        <v>26</v>
      </c>
      <c r="B45" s="2">
        <v>9700</v>
      </c>
      <c r="C45" s="2">
        <v>1620</v>
      </c>
    </row>
    <row r="46" spans="1:3">
      <c r="A46" s="2" t="s">
        <v>33</v>
      </c>
      <c r="B46" s="2">
        <v>10900</v>
      </c>
      <c r="C46" s="2">
        <v>1685</v>
      </c>
    </row>
    <row r="47" spans="1:3">
      <c r="A47" s="2">
        <v>6</v>
      </c>
      <c r="B47" s="2">
        <v>19500</v>
      </c>
      <c r="C47" s="2">
        <v>2666</v>
      </c>
    </row>
    <row r="48" spans="1:3">
      <c r="A48" s="2">
        <v>11</v>
      </c>
      <c r="B48" s="2">
        <v>18000</v>
      </c>
      <c r="C48" s="2">
        <v>2588</v>
      </c>
    </row>
    <row r="49" spans="1:3">
      <c r="A49" s="2">
        <v>16</v>
      </c>
      <c r="B49" s="2">
        <v>22190</v>
      </c>
      <c r="C49" s="2">
        <v>3080</v>
      </c>
    </row>
    <row r="50" spans="1:3">
      <c r="A50" s="2">
        <v>21</v>
      </c>
      <c r="B50" s="2">
        <v>22250</v>
      </c>
      <c r="C50" s="2">
        <v>3212</v>
      </c>
    </row>
    <row r="51" spans="1:3">
      <c r="A51" s="2">
        <v>26</v>
      </c>
      <c r="B51" s="2">
        <v>21500</v>
      </c>
      <c r="C51" s="2">
        <v>3018</v>
      </c>
    </row>
    <row r="52" spans="1:3">
      <c r="A52" s="2" t="s">
        <v>32</v>
      </c>
      <c r="B52" s="2">
        <v>23750</v>
      </c>
      <c r="C52" s="2">
        <v>3401</v>
      </c>
    </row>
    <row r="53" spans="1:3">
      <c r="A53" s="2">
        <v>6</v>
      </c>
      <c r="B53" s="2">
        <v>22750</v>
      </c>
      <c r="C53" s="2">
        <v>3202</v>
      </c>
    </row>
    <row r="54" spans="1:3">
      <c r="A54" s="2">
        <v>11</v>
      </c>
      <c r="B54" s="2">
        <v>26000</v>
      </c>
      <c r="C54" s="2">
        <v>3575</v>
      </c>
    </row>
    <row r="55" spans="1:3">
      <c r="A55" s="2">
        <v>16</v>
      </c>
      <c r="B55" s="2">
        <v>34916</v>
      </c>
      <c r="C55" s="2">
        <v>4865</v>
      </c>
    </row>
    <row r="56" spans="1:3">
      <c r="A56" s="2">
        <v>21</v>
      </c>
      <c r="B56" s="2">
        <v>23166</v>
      </c>
      <c r="C56" s="2">
        <v>3290</v>
      </c>
    </row>
    <row r="57" spans="1:3">
      <c r="A57" s="2">
        <v>26</v>
      </c>
      <c r="B57" s="2">
        <v>30000</v>
      </c>
      <c r="C57" s="2">
        <v>4300</v>
      </c>
    </row>
    <row r="58" spans="1:3">
      <c r="A58" s="2" t="s">
        <v>31</v>
      </c>
      <c r="B58" s="2">
        <v>39666</v>
      </c>
      <c r="C58" s="2">
        <v>5485</v>
      </c>
    </row>
    <row r="59" spans="1:3">
      <c r="A59" s="2">
        <v>6</v>
      </c>
      <c r="B59" s="2">
        <v>39500</v>
      </c>
      <c r="C59" s="2">
        <v>5850</v>
      </c>
    </row>
    <row r="60" spans="1:3">
      <c r="A60" s="2">
        <v>11</v>
      </c>
      <c r="B60" s="2">
        <v>31500</v>
      </c>
      <c r="C60" s="2">
        <v>4658</v>
      </c>
    </row>
    <row r="61" spans="1:3">
      <c r="A61" s="2">
        <v>16</v>
      </c>
      <c r="B61" s="2">
        <v>37250</v>
      </c>
      <c r="C61" s="2">
        <v>5363</v>
      </c>
    </row>
    <row r="62" spans="1:3">
      <c r="A62" s="2">
        <v>21</v>
      </c>
      <c r="B62" s="2">
        <v>39833</v>
      </c>
      <c r="C62" s="2">
        <v>5559</v>
      </c>
    </row>
    <row r="63" spans="1:3">
      <c r="A63" s="2">
        <v>26</v>
      </c>
      <c r="B63" s="2">
        <v>37166</v>
      </c>
      <c r="C63" s="2">
        <v>5217</v>
      </c>
    </row>
    <row r="64" spans="1:3">
      <c r="A64" s="2" t="s">
        <v>30</v>
      </c>
      <c r="B64" s="2">
        <v>38250</v>
      </c>
      <c r="C64" s="2">
        <v>5525</v>
      </c>
    </row>
    <row r="65" spans="1:3">
      <c r="A65" s="2">
        <v>6</v>
      </c>
      <c r="B65" s="2">
        <v>36000</v>
      </c>
      <c r="C65" s="2">
        <v>5292</v>
      </c>
    </row>
    <row r="66" spans="1:3">
      <c r="A66" s="2">
        <v>11</v>
      </c>
      <c r="B66" s="2">
        <v>36750</v>
      </c>
      <c r="C66" s="2">
        <v>5243</v>
      </c>
    </row>
    <row r="67" spans="1:3">
      <c r="A67" s="2">
        <v>16</v>
      </c>
      <c r="B67" s="2">
        <v>38750</v>
      </c>
      <c r="C67" s="2">
        <v>5495</v>
      </c>
    </row>
    <row r="68" spans="1:3">
      <c r="A68" s="2">
        <v>21</v>
      </c>
      <c r="B68" s="2">
        <v>44000</v>
      </c>
      <c r="C68" s="2">
        <v>6119</v>
      </c>
    </row>
    <row r="69" spans="1:3">
      <c r="A69" s="2">
        <v>26</v>
      </c>
      <c r="B69" s="2">
        <v>50000</v>
      </c>
      <c r="C69" s="2">
        <v>6610</v>
      </c>
    </row>
    <row r="70" spans="1:3">
      <c r="A70" s="2" t="s">
        <v>29</v>
      </c>
      <c r="B70" s="2">
        <v>53000</v>
      </c>
      <c r="C70" s="2">
        <v>7011</v>
      </c>
    </row>
    <row r="71" spans="1:3">
      <c r="A71" s="2">
        <v>6</v>
      </c>
      <c r="B71" s="2">
        <v>185</v>
      </c>
    </row>
    <row r="72" spans="1:3">
      <c r="A72" s="2">
        <v>11</v>
      </c>
      <c r="B72" s="2">
        <v>184</v>
      </c>
    </row>
    <row r="73" spans="1:3">
      <c r="A73" s="2">
        <v>16</v>
      </c>
      <c r="B73" s="2">
        <v>183</v>
      </c>
    </row>
    <row r="74" spans="1:3">
      <c r="A74" s="2">
        <v>21</v>
      </c>
      <c r="B74" s="2">
        <v>180</v>
      </c>
    </row>
    <row r="75" spans="1:3">
      <c r="A75" s="2">
        <v>26</v>
      </c>
      <c r="B75" s="2">
        <v>180</v>
      </c>
    </row>
    <row r="76" spans="1:3">
      <c r="A76" s="2" t="s">
        <v>28</v>
      </c>
      <c r="B76" s="2">
        <v>174</v>
      </c>
    </row>
    <row r="77" spans="1:3">
      <c r="A77" s="2">
        <v>6</v>
      </c>
      <c r="B77" s="2">
        <v>173</v>
      </c>
    </row>
    <row r="78" spans="1:3">
      <c r="A78" s="2">
        <v>11</v>
      </c>
      <c r="B78" s="2">
        <v>174.25</v>
      </c>
    </row>
    <row r="79" spans="1:3">
      <c r="A79" s="2">
        <v>16</v>
      </c>
      <c r="B79" s="2">
        <v>175</v>
      </c>
    </row>
    <row r="80" spans="1:3">
      <c r="A80" s="2">
        <v>21</v>
      </c>
      <c r="B80" s="2">
        <v>176.125</v>
      </c>
    </row>
    <row r="81" spans="1:2">
      <c r="A81" s="2">
        <v>26</v>
      </c>
      <c r="B81" s="2">
        <v>177</v>
      </c>
    </row>
    <row r="82" spans="1:2">
      <c r="A82" s="2" t="s">
        <v>27</v>
      </c>
      <c r="B82" s="2">
        <v>177.5</v>
      </c>
    </row>
    <row r="83" spans="1:2">
      <c r="A83" s="2">
        <v>6</v>
      </c>
      <c r="B83" s="2">
        <v>178</v>
      </c>
    </row>
    <row r="84" spans="1:2">
      <c r="A84" s="2">
        <v>11</v>
      </c>
      <c r="B84" s="2">
        <v>180</v>
      </c>
    </row>
    <row r="85" spans="1:2">
      <c r="A85" s="2">
        <v>16</v>
      </c>
      <c r="B85" s="2">
        <v>182</v>
      </c>
    </row>
    <row r="86" spans="1:2">
      <c r="A86" s="2">
        <v>21</v>
      </c>
      <c r="B86" s="2">
        <v>179.5</v>
      </c>
    </row>
    <row r="87" spans="1:2">
      <c r="A87" s="2">
        <v>26</v>
      </c>
      <c r="B87" s="2">
        <v>182</v>
      </c>
    </row>
    <row r="88" spans="1:2">
      <c r="A88" s="2" t="s">
        <v>38</v>
      </c>
      <c r="B88" s="2">
        <v>-100</v>
      </c>
    </row>
    <row r="89" spans="1:2">
      <c r="A89" s="2">
        <v>6</v>
      </c>
      <c r="B89" s="2">
        <v>-100</v>
      </c>
    </row>
    <row r="90" spans="1:2">
      <c r="A90" s="2">
        <v>11</v>
      </c>
      <c r="B90" s="2">
        <v>181</v>
      </c>
    </row>
    <row r="91" spans="1:2">
      <c r="A91" s="2">
        <v>16</v>
      </c>
      <c r="B91" s="2">
        <v>179</v>
      </c>
    </row>
    <row r="92" spans="1:2">
      <c r="A92" s="2">
        <v>21</v>
      </c>
      <c r="B92" s="2">
        <v>179</v>
      </c>
    </row>
    <row r="93" spans="1:2">
      <c r="A93" s="2">
        <v>26</v>
      </c>
      <c r="B93" s="2">
        <v>179</v>
      </c>
    </row>
    <row r="94" spans="1:2">
      <c r="A94" s="2" t="s">
        <v>37</v>
      </c>
      <c r="B94" s="2">
        <v>180</v>
      </c>
    </row>
    <row r="95" spans="1:2">
      <c r="A95" s="2">
        <v>6</v>
      </c>
      <c r="B95" s="2">
        <v>181</v>
      </c>
    </row>
    <row r="96" spans="1:2">
      <c r="A96" s="2">
        <v>11</v>
      </c>
      <c r="B96" s="2">
        <v>182</v>
      </c>
    </row>
    <row r="97" spans="1:2">
      <c r="A97" s="2">
        <v>16</v>
      </c>
      <c r="B97" s="2">
        <v>181</v>
      </c>
    </row>
    <row r="98" spans="1:2">
      <c r="A98" s="2">
        <v>21</v>
      </c>
      <c r="B98" s="2">
        <v>181.5</v>
      </c>
    </row>
    <row r="99" spans="1:2">
      <c r="A99" s="2">
        <v>26</v>
      </c>
      <c r="B99" s="2">
        <v>182</v>
      </c>
    </row>
    <row r="100" spans="1:2">
      <c r="A100" s="2" t="s">
        <v>36</v>
      </c>
      <c r="B100" s="2">
        <v>182.5</v>
      </c>
    </row>
    <row r="101" spans="1:2">
      <c r="A101" s="2">
        <v>6</v>
      </c>
      <c r="B101" s="2">
        <v>183</v>
      </c>
    </row>
    <row r="102" spans="1:2">
      <c r="A102" s="2">
        <v>11</v>
      </c>
      <c r="B102" s="2">
        <v>183.5</v>
      </c>
    </row>
    <row r="103" spans="1:2">
      <c r="A103" s="2">
        <v>16</v>
      </c>
      <c r="B103" s="2">
        <v>183</v>
      </c>
    </row>
    <row r="104" spans="1:2">
      <c r="A104" s="2">
        <v>21</v>
      </c>
      <c r="B104" s="2">
        <v>182.5</v>
      </c>
    </row>
    <row r="105" spans="1:2">
      <c r="A105" s="2">
        <v>26</v>
      </c>
      <c r="B105" s="2">
        <v>183</v>
      </c>
    </row>
    <row r="106" spans="1:2">
      <c r="A106" s="2" t="s">
        <v>35</v>
      </c>
      <c r="B106" s="2">
        <v>184</v>
      </c>
    </row>
    <row r="107" spans="1:2">
      <c r="A107" s="2">
        <v>6</v>
      </c>
      <c r="B107" s="2">
        <v>185</v>
      </c>
    </row>
    <row r="108" spans="1:2">
      <c r="A108" s="2">
        <v>11</v>
      </c>
      <c r="B108" s="2">
        <v>185</v>
      </c>
    </row>
    <row r="109" spans="1:2">
      <c r="A109" s="2">
        <v>16</v>
      </c>
      <c r="B109" s="2">
        <v>184</v>
      </c>
    </row>
    <row r="110" spans="1:2">
      <c r="A110" s="2">
        <v>21</v>
      </c>
      <c r="B110" s="2">
        <v>186</v>
      </c>
    </row>
    <row r="111" spans="1:2">
      <c r="A111" s="2">
        <v>26</v>
      </c>
      <c r="B111" s="2">
        <v>186</v>
      </c>
    </row>
    <row r="112" spans="1:2">
      <c r="A112" s="2" t="s">
        <v>141</v>
      </c>
      <c r="B112" s="2">
        <v>185.5</v>
      </c>
    </row>
  </sheetData>
  <pageMargins left="1" right="1" top="1.6666666666666667" bottom="1.6666666666666667" header="1" footer="1"/>
  <pageSetup paperSize="0" firstPageNumber="4294967295" fitToWidth="0" fitToHeight="0" orientation="portrait" cellComments="asDisplayed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Intro</vt:lpstr>
      <vt:lpstr>Fig6</vt:lpstr>
      <vt:lpstr>Budgets</vt:lpstr>
      <vt:lpstr>Data</vt:lpstr>
      <vt:lpstr>Data2</vt:lpstr>
      <vt:lpstr>Denomina</vt:lpstr>
      <vt:lpstr>Dom-nat</vt:lpstr>
      <vt:lpstr>Exchge</vt:lpstr>
      <vt:lpstr>Exchge2</vt:lpstr>
      <vt:lpstr>Exchge3</vt:lpstr>
      <vt:lpstr>Inflatio</vt:lpstr>
      <vt:lpstr>Metal</vt:lpstr>
      <vt:lpstr>Mint</vt:lpstr>
      <vt:lpstr>Ramel</vt:lpstr>
      <vt:lpstr>Ramel2</vt:lpstr>
      <vt:lpstr>Revoluti</vt:lpstr>
      <vt:lpstr>seignor</vt:lpstr>
      <vt:lpstr>Post-95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g1frv00</dc:creator>
  <cp:lastModifiedBy>g1frv00</cp:lastModifiedBy>
  <dcterms:created xsi:type="dcterms:W3CDTF">2012-03-08T09:43:06Z</dcterms:created>
  <dcterms:modified xsi:type="dcterms:W3CDTF">2012-03-08T16:10:48Z</dcterms:modified>
</cp:coreProperties>
</file>